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" sheetId="2" r:id="rId2"/>
    <sheet name="грудень 2017" sheetId="3" r:id="rId3"/>
    <sheet name="грудень-2016" sheetId="4" r:id="rId4"/>
  </sheets>
  <externalReferences>
    <externalReference r:id="rId7"/>
  </externalReferences>
  <definedNames>
    <definedName name="_xlnm.Print_Titles" localSheetId="2">'грудень 2017'!$3:$5</definedName>
  </definedNames>
  <calcPr fullCalcOnLoad="1"/>
</workbook>
</file>

<file path=xl/sharedStrings.xml><?xml version="1.0" encoding="utf-8"?>
<sst xmlns="http://schemas.openxmlformats.org/spreadsheetml/2006/main" count="676" uniqueCount="201">
  <si>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</si>
  <si>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</si>
  <si>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</si>
  <si>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</si>
  <si>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</si>
  <si>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</si>
  <si>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</si>
  <si>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</si>
  <si>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</si>
  <si>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</si>
  <si>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</si>
  <si>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</si>
  <si>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</si>
  <si>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</si>
  <si>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</si>
  <si>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</si>
  <si>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</si>
  <si>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</si>
  <si>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</si>
  <si>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</si>
  <si>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</si>
  <si>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</si>
  <si>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</si>
  <si>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</si>
  <si>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</si>
  <si>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</si>
  <si>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</si>
  <si>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</si>
  <si>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</si>
  <si>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</si>
  <si>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</si>
  <si>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</si>
  <si>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</si>
  <si>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</si>
  <si>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</si>
  <si>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</si>
  <si>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</si>
  <si>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</si>
  <si>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</si>
  <si>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</si>
  <si>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</si>
  <si>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</si>
  <si>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</si>
  <si>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</si>
  <si>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</si>
  <si>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</si>
  <si>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</si>
  <si>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</si>
  <si>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</si>
  <si>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</si>
  <si>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</si>
  <si>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</si>
  <si>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</si>
  <si>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</si>
  <si>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</si>
  <si>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</si>
  <si>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</si>
  <si>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</si>
  <si>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</si>
  <si>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</si>
  <si>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</si>
  <si>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</si>
  <si>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</si>
  <si>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</si>
  <si>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</si>
  <si>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</si>
  <si>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</si>
  <si>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</si>
  <si>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</si>
  <si>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</si>
  <si>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</si>
  <si>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</si>
  <si>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</si>
  <si>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</si>
  <si>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</si>
  <si>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</si>
  <si>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</si>
  <si>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</si>
  <si>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</si>
  <si>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</si>
  <si>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</si>
  <si>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</si>
  <si>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</si>
  <si>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</si>
  <si>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</si>
  <si>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</si>
  <si>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</si>
  <si>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</si>
  <si>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</si>
  <si>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</si>
  <si>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</si>
  <si>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</si>
  <si>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</si>
  <si>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</si>
  <si>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</si>
  <si>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</si>
  <si>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</si>
  <si>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</si>
  <si>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</si>
  <si>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</si>
  <si>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</si>
  <si>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</si>
  <si>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</si>
  <si>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</si>
  <si>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</si>
  <si>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</si>
  <si>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</si>
  <si>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</si>
  <si>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</si>
  <si>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</si>
  <si>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</si>
  <si>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</si>
  <si>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</si>
  <si>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</si>
  <si>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</si>
  <si>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</si>
  <si>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</si>
  <si>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</si>
  <si>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</si>
  <si>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</si>
  <si>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</si>
  <si>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</si>
  <si>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</si>
  <si>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</si>
  <si>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</si>
  <si>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</si>
  <si>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</si>
  <si>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</si>
  <si>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</si>
  <si>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</si>
  <si>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</si>
  <si>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</si>
  <si>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t>Відхилення (+,-) до  плану на 2017 рік</t>
  </si>
  <si>
    <t>% виконання  плану на 2017 рік</t>
  </si>
  <si>
    <t>факт 2016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</si>
  <si>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</si>
  <si>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t>Власні надходження бюджетних установ</t>
  </si>
  <si>
    <t>Всього доходи з офіційними трансфертами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</si>
  <si>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</si>
  <si>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</si>
  <si>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зф</t>
  </si>
  <si>
    <t>сф</t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</si>
  <si>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</si>
  <si>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</si>
  <si>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</si>
  <si>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</si>
  <si>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</si>
  <si>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</si>
  <si>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</si>
  <si>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t>ЦНАП</t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</si>
  <si>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</si>
  <si>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</si>
  <si>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</si>
  <si>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</si>
  <si>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</si>
  <si>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</si>
  <si>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t>плата за надання адмінпослуг (220100)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</si>
  <si>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</si>
  <si>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</si>
  <si>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</si>
  <si>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</si>
  <si>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</si>
  <si>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</si>
  <si>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</si>
  <si>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</si>
  <si>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</si>
  <si>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</si>
  <si>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</si>
  <si>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</si>
  <si>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січень-грудень 2017 року</t>
  </si>
  <si>
    <t>% виконання  плану на січень-грудень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</si>
  <si>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</si>
  <si>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t>інші надходження (24060000)</t>
  </si>
  <si>
    <t>ВСІ інші  податки і збори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</si>
  <si>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</si>
  <si>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</si>
  <si>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</si>
  <si>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</si>
  <si>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</si>
  <si>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</si>
  <si>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</si>
  <si>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</si>
  <si>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</si>
  <si>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</si>
  <si>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</si>
  <si>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</si>
  <si>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</si>
  <si>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</si>
  <si>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</si>
  <si>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</si>
  <si>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</si>
  <si>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</si>
  <si>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</si>
  <si>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</si>
  <si>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</si>
  <si>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</si>
  <si>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</si>
  <si>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</si>
  <si>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</si>
  <si>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14.02.2018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</si>
  <si>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13.02.18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</si>
</sst>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Calibri"/>
      <family val="2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26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65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25" fillId="0" borderId="0">
      <alignment/>
      <protection/>
    </xf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2" fillId="0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3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3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4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2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91" fontId="83" fillId="0" borderId="10" xfId="0" applyNumberFormat="1" applyFont="1" applyFill="1" applyBorder="1" applyAlignme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0" fontId="86" fillId="0" borderId="0" xfId="55" applyFont="1" applyAlignment="1" applyProtection="1">
      <alignment horizontal="center"/>
      <protection/>
    </xf>
    <xf numFmtId="0" fontId="86" fillId="38" borderId="0" xfId="55" applyFont="1" applyFill="1" applyAlignment="1" applyProtection="1">
      <alignment horizontal="center"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40" borderId="10" xfId="0" applyNumberFormat="1" applyFont="1" applyFill="1" applyBorder="1" applyAlignment="1" applyProtection="1">
      <alignment/>
      <protection/>
    </xf>
    <xf numFmtId="191" fontId="3" fillId="40" borderId="10" xfId="0" applyNumberFormat="1" applyFont="1" applyFill="1" applyBorder="1" applyAlignment="1" applyProtection="1">
      <alignment/>
      <protection/>
    </xf>
    <xf numFmtId="182" fontId="83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0" borderId="10" xfId="0" applyNumberFormat="1" applyFont="1" applyFill="1" applyBorder="1" applyAlignment="1" applyProtection="1">
      <alignment horizontal="center" vertical="center" wrapText="1"/>
      <protection/>
    </xf>
    <xf numFmtId="0" fontId="10" fillId="40" borderId="10" xfId="55" applyFont="1" applyFill="1" applyBorder="1" applyProtection="1">
      <alignment/>
      <protection/>
    </xf>
    <xf numFmtId="182" fontId="3" fillId="40" borderId="10" xfId="55" applyNumberFormat="1" applyFont="1" applyFill="1" applyBorder="1" applyProtection="1">
      <alignment/>
      <protection/>
    </xf>
    <xf numFmtId="182" fontId="3" fillId="40" borderId="10" xfId="0" applyNumberFormat="1" applyFont="1" applyFill="1" applyBorder="1" applyAlignment="1" applyProtection="1">
      <alignment horizontal="right"/>
      <protection/>
    </xf>
    <xf numFmtId="0" fontId="3" fillId="40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1" borderId="10" xfId="55" applyFont="1" applyFill="1" applyBorder="1" applyAlignment="1" applyProtection="1">
      <alignment horizontal="left" vertical="center" wrapText="1"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41" borderId="14" xfId="55" applyFont="1" applyFill="1" applyBorder="1" applyAlignment="1" applyProtection="1">
      <alignment horizontal="left" vertical="center" wrapText="1"/>
      <protection/>
    </xf>
    <xf numFmtId="0" fontId="7" fillId="41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182" fontId="37" fillId="43" borderId="10" xfId="0" applyNumberFormat="1" applyFont="1" applyFill="1" applyBorder="1" applyAlignment="1" applyProtection="1">
      <alignment horizontal="right"/>
      <protection/>
    </xf>
    <xf numFmtId="182" fontId="37" fillId="43" borderId="10" xfId="0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0" fontId="37" fillId="37" borderId="10" xfId="55" applyFont="1" applyFill="1" applyBorder="1" applyAlignment="1" applyProtection="1">
      <alignment horizontal="right" vertical="center" wrapText="1"/>
      <protection/>
    </xf>
    <xf numFmtId="182" fontId="18" fillId="37" borderId="10" xfId="0" applyNumberFormat="1" applyFont="1" applyFill="1" applyBorder="1" applyAlignment="1" applyProtection="1">
      <alignment horizontal="right"/>
      <protection locked="0"/>
    </xf>
    <xf numFmtId="0" fontId="18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8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7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40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 horizontal="right"/>
      <protection/>
    </xf>
    <xf numFmtId="182" fontId="87" fillId="37" borderId="10" xfId="0" applyNumberFormat="1" applyFont="1" applyFill="1" applyBorder="1" applyAlignment="1" applyProtection="1">
      <alignment horizontal="right"/>
      <protection/>
    </xf>
    <xf numFmtId="191" fontId="18" fillId="37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/>
      <protection/>
    </xf>
    <xf numFmtId="191" fontId="18" fillId="37" borderId="10" xfId="0" applyNumberFormat="1" applyFont="1" applyFill="1" applyBorder="1" applyAlignment="1" applyProtection="1">
      <alignment/>
      <protection/>
    </xf>
    <xf numFmtId="182" fontId="18" fillId="43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Fill="1" applyBorder="1" applyAlignment="1" applyProtection="1">
      <alignment/>
      <protection/>
    </xf>
    <xf numFmtId="191" fontId="45" fillId="0" borderId="10" xfId="0" applyNumberFormat="1" applyFont="1" applyBorder="1" applyAlignment="1" applyProtection="1">
      <alignment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right" wrapText="1"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Protection="1">
      <alignment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182" fontId="6" fillId="37" borderId="0" xfId="55" applyNumberFormat="1" applyFont="1" applyFill="1" applyAlignment="1" applyProtection="1">
      <alignment horizontal="center"/>
      <protection/>
    </xf>
    <xf numFmtId="183" fontId="6" fillId="0" borderId="0" xfId="55" applyNumberFormat="1" applyFont="1" applyAlignment="1" applyProtection="1">
      <alignment horizontal="center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0" borderId="10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191" fontId="7" fillId="0" borderId="10" xfId="0" applyNumberFormat="1" applyFont="1" applyFill="1" applyBorder="1" applyAlignment="1">
      <alignment horizontal="right" wrapText="1"/>
    </xf>
    <xf numFmtId="182" fontId="7" fillId="37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0" xfId="55" applyNumberFormat="1" applyFont="1" applyFill="1" applyProtection="1">
      <alignment/>
      <protection/>
    </xf>
    <xf numFmtId="0" fontId="86" fillId="0" borderId="10" xfId="55" applyFont="1" applyFill="1" applyBorder="1" applyAlignment="1" applyProtection="1">
      <alignment horizontal="right" vertical="center" wrapText="1"/>
      <protection/>
    </xf>
    <xf numFmtId="0" fontId="6" fillId="0" borderId="0" xfId="55" applyFont="1" applyProtection="1">
      <alignment/>
      <protection/>
    </xf>
    <xf numFmtId="0" fontId="28" fillId="0" borderId="0" xfId="55" applyFont="1" applyBorder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191" fontId="10" fillId="0" borderId="0" xfId="0" applyNumberFormat="1" applyFont="1" applyAlignment="1" applyProtection="1">
      <alignment/>
      <protection/>
    </xf>
    <xf numFmtId="191" fontId="10" fillId="40" borderId="0" xfId="0" applyNumberFormat="1" applyFont="1" applyFill="1" applyAlignment="1" applyProtection="1">
      <alignment/>
      <protection/>
    </xf>
    <xf numFmtId="4" fontId="6" fillId="37" borderId="0" xfId="55" applyNumberFormat="1" applyFont="1" applyFill="1" applyAlignment="1" applyProtection="1">
      <alignment horizontal="center"/>
      <protection/>
    </xf>
    <xf numFmtId="182" fontId="46" fillId="0" borderId="0" xfId="0" applyNumberFormat="1" applyFont="1" applyAlignment="1" applyProtection="1">
      <alignment/>
      <protection/>
    </xf>
    <xf numFmtId="0" fontId="86" fillId="0" borderId="0" xfId="55" applyFont="1" applyFill="1" applyBorder="1" applyAlignment="1" applyProtection="1">
      <alignment horizontal="right" vertical="center" wrapText="1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2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4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4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4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32" fillId="37" borderId="10" xfId="55" applyNumberFormat="1" applyFont="1" applyFill="1" applyBorder="1" applyAlignment="1" applyProtection="1">
      <alignment vertical="center"/>
      <protection/>
    </xf>
    <xf numFmtId="4" fontId="18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40" borderId="10" xfId="55" applyNumberFormat="1" applyFont="1" applyFill="1" applyBorder="1" applyProtection="1">
      <alignment/>
      <protection/>
    </xf>
    <xf numFmtId="182" fontId="34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7" fillId="0" borderId="10" xfId="55" applyNumberFormat="1" applyFont="1" applyBorder="1" applyAlignment="1" applyProtection="1">
      <alignment vertical="center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41" fillId="37" borderId="17" xfId="55" applyFont="1" applyFill="1" applyBorder="1" applyAlignment="1" applyProtection="1">
      <alignment horizontal="center" vertical="center" wrapText="1"/>
      <protection/>
    </xf>
    <xf numFmtId="0" fontId="41" fillId="37" borderId="18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0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2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0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1" fillId="0" borderId="17" xfId="55" applyFont="1" applyFill="1" applyBorder="1" applyAlignment="1" applyProtection="1">
      <alignment horizontal="center" vertical="center" wrapText="1"/>
      <protection/>
    </xf>
    <xf numFmtId="0" fontId="41" fillId="0" borderId="18" xfId="55" applyFont="1" applyFill="1" applyBorder="1" applyAlignment="1" applyProtection="1">
      <alignment horizontal="center" vertical="center" wrapText="1"/>
      <protection/>
    </xf>
    <xf numFmtId="0" fontId="41" fillId="0" borderId="19" xfId="55" applyFont="1" applyFill="1" applyBorder="1" applyAlignment="1" applyProtection="1">
      <alignment horizontal="center" vertical="center" wrapText="1"/>
      <protection/>
    </xf>
    <xf numFmtId="9" fontId="4" fillId="0" borderId="20" xfId="60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</sheetNames>
    <sheetDataSet>
      <sheetData sheetId="45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68"/>
  <sheetViews>
    <sheetView tabSelected="1" zoomScale="78" zoomScaleNormal="78" zoomScalePageLayoutView="0" workbookViewId="0" topLeftCell="B1">
      <pane xSplit="2" ySplit="8" topLeftCell="D10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109" sqref="E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2.125" style="67" hidden="1" customWidth="1"/>
    <col min="5" max="5" width="14.50390625" style="4" customWidth="1"/>
    <col min="6" max="6" width="14.00390625" style="4" customWidth="1"/>
    <col min="7" max="7" width="13.875" style="113" customWidth="1"/>
    <col min="8" max="8" width="13.25390625" style="4" customWidth="1"/>
    <col min="9" max="9" width="11.5039062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229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1.00390625" style="4" customWidth="1"/>
    <col min="25" max="25" width="11.375" style="277" hidden="1" customWidth="1"/>
    <col min="26" max="16384" width="9.125" style="4" customWidth="1"/>
  </cols>
  <sheetData>
    <row r="1" spans="1:25" s="1" customFormat="1" ht="26.25" customHeight="1">
      <c r="A1" s="464" t="s">
        <v>199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277"/>
    </row>
    <row r="2" spans="2:25" s="1" customFormat="1" ht="15.75" customHeight="1">
      <c r="B2" s="465"/>
      <c r="C2" s="465"/>
      <c r="D2" s="465"/>
      <c r="E2" s="465"/>
      <c r="F2" s="425"/>
      <c r="G2" s="112"/>
      <c r="H2" s="2"/>
      <c r="I2" s="2"/>
      <c r="K2" s="1" t="s">
        <v>24</v>
      </c>
      <c r="Q2" s="302"/>
      <c r="T2" s="1" t="s">
        <v>24</v>
      </c>
      <c r="X2" s="17" t="s">
        <v>24</v>
      </c>
      <c r="Y2" s="277"/>
    </row>
    <row r="3" spans="1:25" s="3" customFormat="1" ht="13.5" customHeight="1">
      <c r="A3" s="466"/>
      <c r="B3" s="468"/>
      <c r="C3" s="469" t="s">
        <v>0</v>
      </c>
      <c r="D3" s="438" t="s">
        <v>187</v>
      </c>
      <c r="E3" s="438" t="s">
        <v>187</v>
      </c>
      <c r="F3" s="32"/>
      <c r="G3" s="470" t="s">
        <v>26</v>
      </c>
      <c r="H3" s="471"/>
      <c r="I3" s="471"/>
      <c r="J3" s="471"/>
      <c r="K3" s="472"/>
      <c r="L3" s="83" t="s">
        <v>152</v>
      </c>
      <c r="M3" s="83"/>
      <c r="N3" s="83"/>
      <c r="O3" s="83" t="s">
        <v>152</v>
      </c>
      <c r="P3" s="83"/>
      <c r="Q3" s="303"/>
      <c r="R3" s="83"/>
      <c r="S3" s="83"/>
      <c r="T3" s="83"/>
      <c r="U3" s="473" t="s">
        <v>198</v>
      </c>
      <c r="V3" s="474" t="s">
        <v>193</v>
      </c>
      <c r="W3" s="474"/>
      <c r="X3" s="474"/>
      <c r="Y3" s="323"/>
    </row>
    <row r="4" spans="1:24" ht="22.5" customHeight="1">
      <c r="A4" s="466"/>
      <c r="B4" s="468"/>
      <c r="C4" s="469"/>
      <c r="D4" s="438"/>
      <c r="E4" s="438"/>
      <c r="F4" s="475" t="s">
        <v>196</v>
      </c>
      <c r="G4" s="458" t="s">
        <v>33</v>
      </c>
      <c r="H4" s="447" t="s">
        <v>185</v>
      </c>
      <c r="I4" s="460" t="s">
        <v>186</v>
      </c>
      <c r="J4" s="447" t="s">
        <v>188</v>
      </c>
      <c r="K4" s="460" t="s">
        <v>189</v>
      </c>
      <c r="L4" s="85" t="s">
        <v>190</v>
      </c>
      <c r="M4" s="203" t="s">
        <v>113</v>
      </c>
      <c r="N4" s="90" t="s">
        <v>63</v>
      </c>
      <c r="O4" s="85" t="s">
        <v>182</v>
      </c>
      <c r="P4" s="203" t="s">
        <v>113</v>
      </c>
      <c r="Q4" s="304" t="s">
        <v>63</v>
      </c>
      <c r="R4" s="85" t="s">
        <v>182</v>
      </c>
      <c r="S4" s="203" t="s">
        <v>113</v>
      </c>
      <c r="T4" s="90" t="s">
        <v>63</v>
      </c>
      <c r="U4" s="460"/>
      <c r="V4" s="462" t="s">
        <v>200</v>
      </c>
      <c r="W4" s="447" t="s">
        <v>49</v>
      </c>
      <c r="X4" s="449" t="s">
        <v>48</v>
      </c>
    </row>
    <row r="5" spans="1:24" ht="67.5" customHeight="1">
      <c r="A5" s="467"/>
      <c r="B5" s="468"/>
      <c r="C5" s="469"/>
      <c r="D5" s="438"/>
      <c r="E5" s="438"/>
      <c r="F5" s="476"/>
      <c r="G5" s="459"/>
      <c r="H5" s="448"/>
      <c r="I5" s="461"/>
      <c r="J5" s="448"/>
      <c r="K5" s="461"/>
      <c r="L5" s="450" t="s">
        <v>191</v>
      </c>
      <c r="M5" s="451"/>
      <c r="N5" s="452"/>
      <c r="O5" s="453" t="s">
        <v>181</v>
      </c>
      <c r="P5" s="454"/>
      <c r="Q5" s="455"/>
      <c r="R5" s="456" t="s">
        <v>192</v>
      </c>
      <c r="S5" s="456"/>
      <c r="T5" s="456"/>
      <c r="U5" s="461"/>
      <c r="V5" s="463"/>
      <c r="W5" s="448"/>
      <c r="X5" s="449"/>
    </row>
    <row r="6" spans="1:24" ht="15.75" customHeight="1">
      <c r="A6" s="5" t="s">
        <v>1</v>
      </c>
      <c r="B6" s="10" t="s">
        <v>2</v>
      </c>
      <c r="C6" s="60" t="s">
        <v>3</v>
      </c>
      <c r="D6" s="60"/>
      <c r="E6" s="10" t="s">
        <v>4</v>
      </c>
      <c r="F6" s="10" t="s">
        <v>5</v>
      </c>
      <c r="G6" s="138" t="s">
        <v>6</v>
      </c>
      <c r="H6" s="10" t="s">
        <v>7</v>
      </c>
      <c r="I6" s="10" t="s">
        <v>38</v>
      </c>
      <c r="J6" s="10" t="s">
        <v>60</v>
      </c>
      <c r="K6" s="10" t="s">
        <v>8</v>
      </c>
      <c r="L6" s="10"/>
      <c r="M6" s="10"/>
      <c r="N6" s="10"/>
      <c r="O6" s="10"/>
      <c r="P6" s="10"/>
      <c r="Q6" s="305"/>
      <c r="R6" s="10" t="s">
        <v>25</v>
      </c>
      <c r="S6" s="10"/>
      <c r="T6" s="10" t="s">
        <v>66</v>
      </c>
      <c r="U6" s="10" t="s">
        <v>67</v>
      </c>
      <c r="V6" s="143" t="s">
        <v>68</v>
      </c>
      <c r="W6" s="10" t="s">
        <v>69</v>
      </c>
      <c r="X6" s="10" t="s">
        <v>70</v>
      </c>
    </row>
    <row r="7" spans="1:24" ht="15.75" customHeight="1">
      <c r="A7" s="18"/>
      <c r="B7" s="19" t="s">
        <v>27</v>
      </c>
      <c r="C7" s="60"/>
      <c r="D7" s="60"/>
      <c r="E7" s="10"/>
      <c r="F7" s="10"/>
      <c r="G7" s="138"/>
      <c r="H7" s="10"/>
      <c r="I7" s="10"/>
      <c r="J7" s="10"/>
      <c r="K7" s="10"/>
      <c r="L7" s="10"/>
      <c r="M7" s="10"/>
      <c r="N7" s="10"/>
      <c r="O7" s="10"/>
      <c r="P7" s="10"/>
      <c r="Q7" s="305"/>
      <c r="R7" s="10"/>
      <c r="S7" s="10"/>
      <c r="T7" s="10"/>
      <c r="U7" s="10"/>
      <c r="V7" s="143"/>
      <c r="W7" s="10"/>
      <c r="X7" s="10"/>
    </row>
    <row r="8" spans="1:25" s="6" customFormat="1" ht="17.25">
      <c r="A8" s="7"/>
      <c r="B8" s="154" t="s">
        <v>9</v>
      </c>
      <c r="C8" s="70" t="s">
        <v>10</v>
      </c>
      <c r="D8" s="15">
        <f>D9+D15+D18+D19+D23+D17</f>
        <v>1580633.8</v>
      </c>
      <c r="E8" s="151">
        <f>E9+E15+E18+E19+E23+E17</f>
        <v>1580633.8</v>
      </c>
      <c r="F8" s="151">
        <f>F9+F15+F18+F19+F23+F17</f>
        <v>229561.439</v>
      </c>
      <c r="G8" s="151">
        <f>G9+G15+G18+G19+G23+G17</f>
        <v>156806.72000000003</v>
      </c>
      <c r="H8" s="151">
        <f>G8-F8</f>
        <v>-72754.71899999998</v>
      </c>
      <c r="I8" s="341">
        <f aca="true" t="shared" si="0" ref="I8:I15">G8/F8</f>
        <v>0.683070818352903</v>
      </c>
      <c r="J8" s="153">
        <f aca="true" t="shared" si="1" ref="J8:J52">G8-E8</f>
        <v>-1423827.08</v>
      </c>
      <c r="K8" s="218">
        <f aca="true" t="shared" si="2" ref="K8:K14">G8/E8</f>
        <v>0.0992049644895611</v>
      </c>
      <c r="L8" s="153"/>
      <c r="M8" s="153"/>
      <c r="N8" s="153"/>
      <c r="O8" s="153">
        <v>1329586.12</v>
      </c>
      <c r="P8" s="153">
        <f aca="true" t="shared" si="3" ref="P8:P51">E8-O8</f>
        <v>251047.67999999993</v>
      </c>
      <c r="Q8" s="218">
        <f aca="true" t="shared" si="4" ref="Q8:Q51">E8/O8</f>
        <v>1.188816411531131</v>
      </c>
      <c r="R8" s="151">
        <v>194831.46</v>
      </c>
      <c r="S8" s="151">
        <f aca="true" t="shared" si="5" ref="S8:S78">G8-R8</f>
        <v>-38024.73999999996</v>
      </c>
      <c r="T8" s="204">
        <f aca="true" t="shared" si="6" ref="T8:T20">G8/R8</f>
        <v>0.8048326486903092</v>
      </c>
      <c r="U8" s="151">
        <f>U9+U15+U18+U19+U23+U17</f>
        <v>117534.42000000001</v>
      </c>
      <c r="V8" s="151">
        <f>V9+V15+V18+V19+V23+V17</f>
        <v>44779.71000000001</v>
      </c>
      <c r="W8" s="151">
        <f>V8-U8</f>
        <v>-72754.71</v>
      </c>
      <c r="X8" s="204">
        <f aca="true" t="shared" si="7" ref="X8:X15">V8/U8</f>
        <v>0.3809923084658945</v>
      </c>
      <c r="Y8" s="329">
        <f aca="true" t="shared" si="8" ref="Y8:Y22">T8-Q8</f>
        <v>-0.3839837628408218</v>
      </c>
    </row>
    <row r="9" spans="1:25" s="6" customFormat="1" ht="18">
      <c r="A9" s="8"/>
      <c r="B9" s="130" t="s">
        <v>79</v>
      </c>
      <c r="C9" s="43">
        <v>11010000</v>
      </c>
      <c r="D9" s="412">
        <v>956203</v>
      </c>
      <c r="E9" s="150">
        <v>956203</v>
      </c>
      <c r="F9" s="150">
        <v>131692.339</v>
      </c>
      <c r="G9" s="156">
        <v>91504.82</v>
      </c>
      <c r="H9" s="150">
        <f>G9-F9</f>
        <v>-40187.519</v>
      </c>
      <c r="I9" s="339">
        <f t="shared" si="0"/>
        <v>0.694837837150117</v>
      </c>
      <c r="J9" s="158">
        <f t="shared" si="1"/>
        <v>-864698.1799999999</v>
      </c>
      <c r="K9" s="209">
        <f t="shared" si="2"/>
        <v>0.09569601852326337</v>
      </c>
      <c r="L9" s="158"/>
      <c r="M9" s="158"/>
      <c r="N9" s="158"/>
      <c r="O9" s="158">
        <v>775821.8</v>
      </c>
      <c r="P9" s="158">
        <f t="shared" si="3"/>
        <v>180381.19999999995</v>
      </c>
      <c r="Q9" s="209">
        <f t="shared" si="4"/>
        <v>1.2325033918871575</v>
      </c>
      <c r="R9" s="226">
        <v>101885.94</v>
      </c>
      <c r="S9" s="159">
        <f t="shared" si="5"/>
        <v>-10381.119999999995</v>
      </c>
      <c r="T9" s="205">
        <f t="shared" si="6"/>
        <v>0.8981103771531185</v>
      </c>
      <c r="U9" s="157">
        <f>F9-січень!F9</f>
        <v>67863</v>
      </c>
      <c r="V9" s="160">
        <f>G9-січень!G9</f>
        <v>27675.530000000006</v>
      </c>
      <c r="W9" s="161">
        <f>V9-U9</f>
        <v>-40187.469999999994</v>
      </c>
      <c r="X9" s="209">
        <f t="shared" si="7"/>
        <v>0.40781471494039473</v>
      </c>
      <c r="Y9" s="330">
        <f t="shared" si="8"/>
        <v>-0.33439301473403904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409">
        <v>881803</v>
      </c>
      <c r="E10" s="103">
        <v>881803</v>
      </c>
      <c r="F10" s="103">
        <v>120478.7</v>
      </c>
      <c r="G10" s="140">
        <v>84555.31</v>
      </c>
      <c r="H10" s="103">
        <f aca="true" t="shared" si="9" ref="H10:H47">G10-F10</f>
        <v>-35923.39</v>
      </c>
      <c r="I10" s="340">
        <f t="shared" si="0"/>
        <v>0.7018278749687704</v>
      </c>
      <c r="J10" s="104">
        <f t="shared" si="1"/>
        <v>-797247.69</v>
      </c>
      <c r="K10" s="109">
        <f t="shared" si="2"/>
        <v>0.0958891158229219</v>
      </c>
      <c r="L10" s="104"/>
      <c r="M10" s="104"/>
      <c r="N10" s="104"/>
      <c r="O10" s="104">
        <v>709899.75</v>
      </c>
      <c r="P10" s="104">
        <f t="shared" si="3"/>
        <v>171903.25</v>
      </c>
      <c r="Q10" s="109">
        <f t="shared" si="4"/>
        <v>1.2421514446229909</v>
      </c>
      <c r="R10" s="106">
        <v>92726.64</v>
      </c>
      <c r="S10" s="106">
        <f t="shared" si="5"/>
        <v>-8171.330000000002</v>
      </c>
      <c r="T10" s="206">
        <f t="shared" si="6"/>
        <v>0.9118772124170572</v>
      </c>
      <c r="U10" s="105">
        <f>F10-січень!F10</f>
        <v>61500</v>
      </c>
      <c r="V10" s="144">
        <f>G10-січень!G10</f>
        <v>25576.619999999995</v>
      </c>
      <c r="W10" s="106">
        <f aca="true" t="shared" si="10" ref="W10:W52">V10-U10</f>
        <v>-35923.380000000005</v>
      </c>
      <c r="X10" s="109">
        <f t="shared" si="7"/>
        <v>0.4158799999999999</v>
      </c>
      <c r="Y10" s="328">
        <f t="shared" si="8"/>
        <v>-0.33027423220593366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409">
        <v>49900</v>
      </c>
      <c r="E11" s="103">
        <v>49900</v>
      </c>
      <c r="F11" s="103">
        <v>7084.7</v>
      </c>
      <c r="G11" s="140">
        <v>4102.54</v>
      </c>
      <c r="H11" s="103">
        <f t="shared" si="9"/>
        <v>-2982.16</v>
      </c>
      <c r="I11" s="340">
        <f t="shared" si="0"/>
        <v>0.579070391124536</v>
      </c>
      <c r="J11" s="104">
        <f t="shared" si="1"/>
        <v>-45797.46</v>
      </c>
      <c r="K11" s="109">
        <f t="shared" si="2"/>
        <v>0.08221523046092184</v>
      </c>
      <c r="L11" s="104"/>
      <c r="M11" s="104"/>
      <c r="N11" s="104"/>
      <c r="O11" s="104">
        <v>42516.41</v>
      </c>
      <c r="P11" s="104">
        <f t="shared" si="3"/>
        <v>7383.5899999999965</v>
      </c>
      <c r="Q11" s="109">
        <f t="shared" si="4"/>
        <v>1.1736644744934954</v>
      </c>
      <c r="R11" s="106">
        <v>5895.26</v>
      </c>
      <c r="S11" s="106">
        <f t="shared" si="5"/>
        <v>-1792.7200000000003</v>
      </c>
      <c r="T11" s="206">
        <f t="shared" si="6"/>
        <v>0.6959048455878112</v>
      </c>
      <c r="U11" s="105">
        <f>F11-січень!F11</f>
        <v>3600</v>
      </c>
      <c r="V11" s="144">
        <f>G11-січень!G11</f>
        <v>617.8400000000001</v>
      </c>
      <c r="W11" s="106">
        <f t="shared" si="10"/>
        <v>-2982.16</v>
      </c>
      <c r="X11" s="109">
        <f t="shared" si="7"/>
        <v>0.17162222222222226</v>
      </c>
      <c r="Y11" s="328">
        <f t="shared" si="8"/>
        <v>-0.47775962890568424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409">
        <v>12000</v>
      </c>
      <c r="E12" s="103">
        <v>12000</v>
      </c>
      <c r="F12" s="103">
        <v>1464.409</v>
      </c>
      <c r="G12" s="140">
        <v>1220.04</v>
      </c>
      <c r="H12" s="103">
        <f t="shared" si="9"/>
        <v>-244.36900000000014</v>
      </c>
      <c r="I12" s="340">
        <f t="shared" si="0"/>
        <v>0.8331279034750537</v>
      </c>
      <c r="J12" s="104">
        <f t="shared" si="1"/>
        <v>-10779.96</v>
      </c>
      <c r="K12" s="109">
        <f t="shared" si="2"/>
        <v>0.10167</v>
      </c>
      <c r="L12" s="104"/>
      <c r="M12" s="104"/>
      <c r="N12" s="104"/>
      <c r="O12" s="104">
        <v>11992.15</v>
      </c>
      <c r="P12" s="104">
        <f t="shared" si="3"/>
        <v>7.850000000000364</v>
      </c>
      <c r="Q12" s="109">
        <f t="shared" si="4"/>
        <v>1.0006545948808179</v>
      </c>
      <c r="R12" s="106">
        <v>1037.42</v>
      </c>
      <c r="S12" s="106">
        <f t="shared" si="5"/>
        <v>182.6199999999999</v>
      </c>
      <c r="T12" s="206">
        <f t="shared" si="6"/>
        <v>1.176032850725839</v>
      </c>
      <c r="U12" s="105">
        <f>F12-січень!F12</f>
        <v>720.0000000000001</v>
      </c>
      <c r="V12" s="144">
        <f>G12-січень!G12</f>
        <v>475.65</v>
      </c>
      <c r="W12" s="106">
        <f t="shared" si="10"/>
        <v>-244.35000000000014</v>
      </c>
      <c r="X12" s="109">
        <f t="shared" si="7"/>
        <v>0.6606249999999999</v>
      </c>
      <c r="Y12" s="328">
        <f t="shared" si="8"/>
        <v>0.1753782558450212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409">
        <v>12000</v>
      </c>
      <c r="E13" s="103">
        <v>12000</v>
      </c>
      <c r="F13" s="103">
        <v>2485.9</v>
      </c>
      <c r="G13" s="140">
        <v>1422.28</v>
      </c>
      <c r="H13" s="103">
        <f t="shared" si="9"/>
        <v>-1063.6200000000001</v>
      </c>
      <c r="I13" s="340">
        <f t="shared" si="0"/>
        <v>0.5721388631883825</v>
      </c>
      <c r="J13" s="104">
        <f t="shared" si="1"/>
        <v>-10577.72</v>
      </c>
      <c r="K13" s="109">
        <f t="shared" si="2"/>
        <v>0.11852333333333333</v>
      </c>
      <c r="L13" s="104"/>
      <c r="M13" s="104"/>
      <c r="N13" s="104"/>
      <c r="O13" s="104">
        <v>10036.81</v>
      </c>
      <c r="P13" s="104">
        <f t="shared" si="3"/>
        <v>1963.1900000000005</v>
      </c>
      <c r="Q13" s="109">
        <f t="shared" si="4"/>
        <v>1.195599000080703</v>
      </c>
      <c r="R13" s="106">
        <v>2028.32</v>
      </c>
      <c r="S13" s="106">
        <f t="shared" si="5"/>
        <v>-606.04</v>
      </c>
      <c r="T13" s="206">
        <f t="shared" si="6"/>
        <v>0.7012108543030685</v>
      </c>
      <c r="U13" s="105">
        <f>F13-січень!F13</f>
        <v>2010</v>
      </c>
      <c r="V13" s="144">
        <f>G13-січень!G13</f>
        <v>946.41</v>
      </c>
      <c r="W13" s="106">
        <f t="shared" si="10"/>
        <v>-1063.5900000000001</v>
      </c>
      <c r="X13" s="109">
        <f t="shared" si="7"/>
        <v>0.4708507462686567</v>
      </c>
      <c r="Y13" s="328">
        <f t="shared" si="8"/>
        <v>-0.49438814577763457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409">
        <v>500</v>
      </c>
      <c r="E14" s="103">
        <v>500</v>
      </c>
      <c r="F14" s="103">
        <v>178.63</v>
      </c>
      <c r="G14" s="140">
        <v>204.64</v>
      </c>
      <c r="H14" s="103">
        <f t="shared" si="9"/>
        <v>26.00999999999999</v>
      </c>
      <c r="I14" s="340">
        <f t="shared" si="0"/>
        <v>1.1456082404971168</v>
      </c>
      <c r="J14" s="104">
        <f t="shared" si="1"/>
        <v>-295.36</v>
      </c>
      <c r="K14" s="109">
        <f t="shared" si="2"/>
        <v>0.40928</v>
      </c>
      <c r="L14" s="104"/>
      <c r="M14" s="104"/>
      <c r="N14" s="104"/>
      <c r="O14" s="104">
        <v>1376.68</v>
      </c>
      <c r="P14" s="104">
        <f t="shared" si="3"/>
        <v>-876.6800000000001</v>
      </c>
      <c r="Q14" s="109">
        <f t="shared" si="4"/>
        <v>0.36319260830403577</v>
      </c>
      <c r="R14" s="106">
        <v>198.31</v>
      </c>
      <c r="S14" s="106">
        <f t="shared" si="5"/>
        <v>6.329999999999984</v>
      </c>
      <c r="T14" s="206">
        <f t="shared" si="6"/>
        <v>1.0319197216479248</v>
      </c>
      <c r="U14" s="105">
        <f>F14-січень!F14</f>
        <v>33</v>
      </c>
      <c r="V14" s="144">
        <f>G14-січень!G14</f>
        <v>59.00999999999999</v>
      </c>
      <c r="W14" s="106">
        <f t="shared" si="10"/>
        <v>26.00999999999999</v>
      </c>
      <c r="X14" s="109">
        <f t="shared" si="7"/>
        <v>1.7881818181818179</v>
      </c>
      <c r="Y14" s="328">
        <f t="shared" si="8"/>
        <v>0.668727113343889</v>
      </c>
    </row>
    <row r="15" spans="1:25" s="6" customFormat="1" ht="30.75">
      <c r="A15" s="8"/>
      <c r="B15" s="131" t="s">
        <v>11</v>
      </c>
      <c r="C15" s="43">
        <v>11020200</v>
      </c>
      <c r="D15" s="412">
        <v>900</v>
      </c>
      <c r="E15" s="150">
        <v>900</v>
      </c>
      <c r="F15" s="150">
        <v>10</v>
      </c>
      <c r="G15" s="156">
        <v>0.2</v>
      </c>
      <c r="H15" s="150">
        <f t="shared" si="9"/>
        <v>-9.8</v>
      </c>
      <c r="I15" s="339">
        <f t="shared" si="0"/>
        <v>0.02</v>
      </c>
      <c r="J15" s="158">
        <f t="shared" si="1"/>
        <v>-899.8</v>
      </c>
      <c r="K15" s="158">
        <f aca="true" t="shared" si="11" ref="K15:K23">G15/E15*100</f>
        <v>0.022222222222222223</v>
      </c>
      <c r="L15" s="158"/>
      <c r="M15" s="158"/>
      <c r="N15" s="158"/>
      <c r="O15" s="158">
        <v>887.61</v>
      </c>
      <c r="P15" s="158">
        <f t="shared" si="3"/>
        <v>12.389999999999986</v>
      </c>
      <c r="Q15" s="209">
        <f t="shared" si="4"/>
        <v>1.0139588332713692</v>
      </c>
      <c r="R15" s="161">
        <v>13.91</v>
      </c>
      <c r="S15" s="161">
        <f t="shared" si="5"/>
        <v>-13.71</v>
      </c>
      <c r="T15" s="207">
        <f t="shared" si="6"/>
        <v>0.014378145219266716</v>
      </c>
      <c r="U15" s="157">
        <f>F15-січень!F15</f>
        <v>10</v>
      </c>
      <c r="V15" s="160">
        <f>G15-січень!G15</f>
        <v>0.2</v>
      </c>
      <c r="W15" s="161">
        <f t="shared" si="10"/>
        <v>-9.8</v>
      </c>
      <c r="X15" s="209">
        <f t="shared" si="7"/>
        <v>0.02</v>
      </c>
      <c r="Y15" s="327">
        <f t="shared" si="8"/>
        <v>-0.9995806880521024</v>
      </c>
    </row>
    <row r="16" spans="1:25" s="6" customFormat="1" ht="18" customHeight="1" hidden="1">
      <c r="A16" s="8"/>
      <c r="B16" s="325" t="s">
        <v>65</v>
      </c>
      <c r="C16" s="102">
        <v>11010232</v>
      </c>
      <c r="D16" s="409"/>
      <c r="E16" s="103">
        <v>0</v>
      </c>
      <c r="F16" s="150">
        <f>E16</f>
        <v>0</v>
      </c>
      <c r="G16" s="140">
        <v>0</v>
      </c>
      <c r="H16" s="150">
        <f t="shared" si="9"/>
        <v>0</v>
      </c>
      <c r="I16" s="339" t="e">
        <f>G16/F16/100</f>
        <v>#DIV/0!</v>
      </c>
      <c r="J16" s="158">
        <f t="shared" si="1"/>
        <v>0</v>
      </c>
      <c r="K16" s="158" t="e">
        <f t="shared" si="11"/>
        <v>#DIV/0!</v>
      </c>
      <c r="L16" s="158"/>
      <c r="M16" s="158"/>
      <c r="N16" s="158"/>
      <c r="O16" s="158"/>
      <c r="P16" s="158">
        <f t="shared" si="3"/>
        <v>0</v>
      </c>
      <c r="Q16" s="209" t="e">
        <f t="shared" si="4"/>
        <v>#DIV/0!</v>
      </c>
      <c r="R16" s="161">
        <f>O16</f>
        <v>0</v>
      </c>
      <c r="S16" s="161">
        <f t="shared" si="5"/>
        <v>0</v>
      </c>
      <c r="T16" s="207" t="e">
        <f t="shared" si="6"/>
        <v>#DIV/0!</v>
      </c>
      <c r="U16" s="157">
        <f>F16-січень!F16</f>
        <v>0</v>
      </c>
      <c r="V16" s="160">
        <f>G16-січень!G16</f>
        <v>0</v>
      </c>
      <c r="W16" s="161">
        <f t="shared" si="10"/>
        <v>0</v>
      </c>
      <c r="X16" s="209" t="e">
        <f>V16/U16*100</f>
        <v>#DIV/0!</v>
      </c>
      <c r="Y16" s="327" t="e">
        <f t="shared" si="8"/>
        <v>#DIV/0!</v>
      </c>
    </row>
    <row r="17" spans="1:25" s="6" customFormat="1" ht="30.75" customHeight="1" hidden="1">
      <c r="A17" s="8"/>
      <c r="B17" s="224" t="s">
        <v>116</v>
      </c>
      <c r="C17" s="120">
        <v>13010200</v>
      </c>
      <c r="D17" s="412"/>
      <c r="E17" s="162">
        <v>0</v>
      </c>
      <c r="F17" s="150">
        <f>E17</f>
        <v>0</v>
      </c>
      <c r="G17" s="163">
        <v>0</v>
      </c>
      <c r="H17" s="150">
        <f t="shared" si="9"/>
        <v>0</v>
      </c>
      <c r="I17" s="339"/>
      <c r="J17" s="158">
        <f t="shared" si="1"/>
        <v>0</v>
      </c>
      <c r="K17" s="158"/>
      <c r="L17" s="158"/>
      <c r="M17" s="158"/>
      <c r="N17" s="158"/>
      <c r="O17" s="158">
        <v>0.49</v>
      </c>
      <c r="P17" s="158">
        <f t="shared" si="3"/>
        <v>-0.49</v>
      </c>
      <c r="Q17" s="209">
        <f t="shared" si="4"/>
        <v>0</v>
      </c>
      <c r="R17" s="161">
        <v>0</v>
      </c>
      <c r="S17" s="161">
        <f t="shared" si="5"/>
        <v>0</v>
      </c>
      <c r="T17" s="207" t="e">
        <f t="shared" si="6"/>
        <v>#DIV/0!</v>
      </c>
      <c r="U17" s="157">
        <f>F17-січень!F17</f>
        <v>0</v>
      </c>
      <c r="V17" s="160">
        <f>G17-січень!G17</f>
        <v>0</v>
      </c>
      <c r="W17" s="161">
        <f t="shared" si="10"/>
        <v>0</v>
      </c>
      <c r="X17" s="209"/>
      <c r="Y17" s="327" t="e">
        <f t="shared" si="8"/>
        <v>#DIV/0!</v>
      </c>
    </row>
    <row r="18" spans="1:25" s="6" customFormat="1" ht="30.75">
      <c r="A18" s="8"/>
      <c r="B18" s="130" t="s">
        <v>117</v>
      </c>
      <c r="C18" s="120">
        <v>13030200</v>
      </c>
      <c r="D18" s="412">
        <v>235.6</v>
      </c>
      <c r="E18" s="150">
        <v>235.6</v>
      </c>
      <c r="F18" s="150">
        <v>120</v>
      </c>
      <c r="G18" s="156">
        <v>194.24</v>
      </c>
      <c r="H18" s="150">
        <f t="shared" si="9"/>
        <v>74.24000000000001</v>
      </c>
      <c r="I18" s="339">
        <f aca="true" t="shared" si="12" ref="I18:I41">G18/F18</f>
        <v>1.6186666666666667</v>
      </c>
      <c r="J18" s="158">
        <f t="shared" si="1"/>
        <v>-41.359999999999985</v>
      </c>
      <c r="K18" s="158">
        <f t="shared" si="11"/>
        <v>82.44482173174873</v>
      </c>
      <c r="L18" s="158"/>
      <c r="M18" s="158"/>
      <c r="N18" s="158"/>
      <c r="O18" s="158">
        <v>220.59</v>
      </c>
      <c r="P18" s="158">
        <f t="shared" si="3"/>
        <v>15.009999999999991</v>
      </c>
      <c r="Q18" s="209">
        <f t="shared" si="4"/>
        <v>1.0680447889750215</v>
      </c>
      <c r="R18" s="161">
        <v>0</v>
      </c>
      <c r="S18" s="161">
        <f t="shared" si="5"/>
        <v>194.24</v>
      </c>
      <c r="T18" s="207" t="e">
        <f t="shared" si="6"/>
        <v>#DIV/0!</v>
      </c>
      <c r="U18" s="157">
        <f>F18-січень!F18</f>
        <v>120</v>
      </c>
      <c r="V18" s="160">
        <f>G18-січень!G18</f>
        <v>194.24</v>
      </c>
      <c r="W18" s="161">
        <f t="shared" si="10"/>
        <v>74.24000000000001</v>
      </c>
      <c r="X18" s="209">
        <f aca="true" t="shared" si="13" ref="X18:X25">V18/U18</f>
        <v>1.6186666666666667</v>
      </c>
      <c r="Y18" s="327" t="e">
        <f t="shared" si="8"/>
        <v>#DIV/0!</v>
      </c>
    </row>
    <row r="19" spans="1:25" s="6" customFormat="1" ht="18">
      <c r="A19" s="8"/>
      <c r="B19" s="130" t="s">
        <v>144</v>
      </c>
      <c r="C19" s="43"/>
      <c r="D19" s="412">
        <f>D20+D21+D22</f>
        <v>151728</v>
      </c>
      <c r="E19" s="150">
        <f>E20+E21+E22</f>
        <v>151728</v>
      </c>
      <c r="F19" s="150">
        <f>F20+F21+F22</f>
        <v>9066</v>
      </c>
      <c r="G19" s="222">
        <v>5100.57</v>
      </c>
      <c r="H19" s="150">
        <f t="shared" si="9"/>
        <v>-3965.4300000000003</v>
      </c>
      <c r="I19" s="339">
        <f t="shared" si="12"/>
        <v>0.5626042356055592</v>
      </c>
      <c r="J19" s="158">
        <f t="shared" si="1"/>
        <v>-146627.43</v>
      </c>
      <c r="K19" s="158">
        <f t="shared" si="11"/>
        <v>3.3616537488136666</v>
      </c>
      <c r="L19" s="158"/>
      <c r="M19" s="158"/>
      <c r="N19" s="158"/>
      <c r="O19" s="158">
        <v>121950.14</v>
      </c>
      <c r="P19" s="158">
        <f t="shared" si="3"/>
        <v>29777.86</v>
      </c>
      <c r="Q19" s="209">
        <f t="shared" si="4"/>
        <v>1.2441806134867905</v>
      </c>
      <c r="R19" s="161">
        <v>13705.91</v>
      </c>
      <c r="S19" s="161">
        <f t="shared" si="5"/>
        <v>-8605.34</v>
      </c>
      <c r="T19" s="207">
        <f t="shared" si="6"/>
        <v>0.3721438415982594</v>
      </c>
      <c r="U19" s="157">
        <f>F19-січень!F19</f>
        <v>4076.42</v>
      </c>
      <c r="V19" s="160">
        <f>G19-січень!G19</f>
        <v>110.98999999999978</v>
      </c>
      <c r="W19" s="161">
        <f t="shared" si="10"/>
        <v>-3965.4300000000003</v>
      </c>
      <c r="X19" s="209">
        <f t="shared" si="13"/>
        <v>0.027227322012942676</v>
      </c>
      <c r="Y19" s="327">
        <f t="shared" si="8"/>
        <v>-0.8720367718885311</v>
      </c>
    </row>
    <row r="20" spans="1:25" s="6" customFormat="1" ht="61.5">
      <c r="A20" s="8"/>
      <c r="B20" s="243" t="s">
        <v>150</v>
      </c>
      <c r="C20" s="123">
        <v>14040000</v>
      </c>
      <c r="D20" s="409">
        <v>66708</v>
      </c>
      <c r="E20" s="244">
        <v>66708</v>
      </c>
      <c r="F20" s="244">
        <v>9066</v>
      </c>
      <c r="G20" s="200">
        <v>5100.57</v>
      </c>
      <c r="H20" s="244">
        <f t="shared" si="9"/>
        <v>-3965.4300000000003</v>
      </c>
      <c r="I20" s="342">
        <f t="shared" si="12"/>
        <v>0.5626042356055592</v>
      </c>
      <c r="J20" s="245">
        <f t="shared" si="1"/>
        <v>-61607.43</v>
      </c>
      <c r="K20" s="245">
        <f t="shared" si="11"/>
        <v>7.646114409066379</v>
      </c>
      <c r="L20" s="245"/>
      <c r="M20" s="245"/>
      <c r="N20" s="245"/>
      <c r="O20" s="245">
        <v>60736.45</v>
      </c>
      <c r="P20" s="245">
        <f t="shared" si="3"/>
        <v>5971.550000000003</v>
      </c>
      <c r="Q20" s="271">
        <f t="shared" si="4"/>
        <v>1.098319048940134</v>
      </c>
      <c r="R20" s="166">
        <v>13705.91</v>
      </c>
      <c r="S20" s="166">
        <f t="shared" si="5"/>
        <v>-8605.34</v>
      </c>
      <c r="T20" s="246">
        <f t="shared" si="6"/>
        <v>0.3721438415982594</v>
      </c>
      <c r="U20" s="194">
        <f>F20-січень!F20</f>
        <v>4076.42</v>
      </c>
      <c r="V20" s="178">
        <f>G20-січень!G20</f>
        <v>110.98999999999978</v>
      </c>
      <c r="W20" s="166">
        <f t="shared" si="10"/>
        <v>-3965.4300000000003</v>
      </c>
      <c r="X20" s="271">
        <f t="shared" si="13"/>
        <v>0.027227322012942676</v>
      </c>
      <c r="Y20" s="327">
        <f t="shared" si="8"/>
        <v>-0.7261752073418746</v>
      </c>
    </row>
    <row r="21" spans="1:25" s="6" customFormat="1" ht="18">
      <c r="A21" s="8"/>
      <c r="B21" s="243" t="s">
        <v>142</v>
      </c>
      <c r="C21" s="123">
        <v>14021900</v>
      </c>
      <c r="D21" s="409">
        <v>15696</v>
      </c>
      <c r="E21" s="244">
        <v>15696</v>
      </c>
      <c r="F21" s="244">
        <v>0</v>
      </c>
      <c r="G21" s="200">
        <v>0</v>
      </c>
      <c r="H21" s="244">
        <f t="shared" si="9"/>
        <v>0</v>
      </c>
      <c r="I21" s="342" t="e">
        <f t="shared" si="12"/>
        <v>#DIV/0!</v>
      </c>
      <c r="J21" s="245">
        <f t="shared" si="1"/>
        <v>-15696</v>
      </c>
      <c r="K21" s="245">
        <f t="shared" si="11"/>
        <v>0</v>
      </c>
      <c r="L21" s="245"/>
      <c r="M21" s="245"/>
      <c r="N21" s="245"/>
      <c r="O21" s="245">
        <v>12528.71</v>
      </c>
      <c r="P21" s="245">
        <f t="shared" si="3"/>
        <v>3167.290000000001</v>
      </c>
      <c r="Q21" s="271">
        <f t="shared" si="4"/>
        <v>1.2528025630731336</v>
      </c>
      <c r="R21" s="166">
        <v>0</v>
      </c>
      <c r="S21" s="166">
        <f t="shared" si="5"/>
        <v>0</v>
      </c>
      <c r="T21" s="246"/>
      <c r="U21" s="194">
        <f>F21-січень!F21</f>
        <v>0</v>
      </c>
      <c r="V21" s="178">
        <f>G21-січень!G21</f>
        <v>0</v>
      </c>
      <c r="W21" s="166">
        <f t="shared" si="10"/>
        <v>0</v>
      </c>
      <c r="X21" s="271" t="e">
        <f t="shared" si="13"/>
        <v>#DIV/0!</v>
      </c>
      <c r="Y21" s="327">
        <f t="shared" si="8"/>
        <v>-1.2528025630731336</v>
      </c>
    </row>
    <row r="22" spans="1:28" s="6" customFormat="1" ht="18">
      <c r="A22" s="8"/>
      <c r="B22" s="243" t="s">
        <v>143</v>
      </c>
      <c r="C22" s="123">
        <v>14031900</v>
      </c>
      <c r="D22" s="409">
        <v>69324</v>
      </c>
      <c r="E22" s="244">
        <v>69324</v>
      </c>
      <c r="F22" s="244">
        <v>0</v>
      </c>
      <c r="G22" s="200">
        <v>0</v>
      </c>
      <c r="H22" s="244">
        <f t="shared" si="9"/>
        <v>0</v>
      </c>
      <c r="I22" s="342" t="e">
        <f t="shared" si="12"/>
        <v>#DIV/0!</v>
      </c>
      <c r="J22" s="245">
        <f t="shared" si="1"/>
        <v>-69324</v>
      </c>
      <c r="K22" s="245">
        <f t="shared" si="11"/>
        <v>0</v>
      </c>
      <c r="L22" s="245"/>
      <c r="M22" s="245"/>
      <c r="N22" s="245"/>
      <c r="O22" s="245">
        <v>48684.98</v>
      </c>
      <c r="P22" s="245">
        <f t="shared" si="3"/>
        <v>20639.019999999997</v>
      </c>
      <c r="Q22" s="271">
        <f t="shared" si="4"/>
        <v>1.4239299266426728</v>
      </c>
      <c r="R22" s="166">
        <v>0</v>
      </c>
      <c r="S22" s="166">
        <f t="shared" si="5"/>
        <v>0</v>
      </c>
      <c r="T22" s="246"/>
      <c r="U22" s="194">
        <f>F22-січень!F22</f>
        <v>0</v>
      </c>
      <c r="V22" s="178">
        <f>G22-січень!G22</f>
        <v>0</v>
      </c>
      <c r="W22" s="166">
        <f t="shared" si="10"/>
        <v>0</v>
      </c>
      <c r="X22" s="271" t="e">
        <f t="shared" si="13"/>
        <v>#DIV/0!</v>
      </c>
      <c r="Y22" s="327">
        <f t="shared" si="8"/>
        <v>-1.4239299266426728</v>
      </c>
      <c r="AB22" s="147"/>
    </row>
    <row r="23" spans="1:28" s="6" customFormat="1" ht="18">
      <c r="A23" s="8"/>
      <c r="B23" s="326" t="s">
        <v>73</v>
      </c>
      <c r="C23" s="43">
        <v>18000000</v>
      </c>
      <c r="D23" s="150">
        <f>D24+D43+D47+D42</f>
        <v>471567.19999999995</v>
      </c>
      <c r="E23" s="150">
        <f>E24+E43+E47+E42</f>
        <v>471567.19999999995</v>
      </c>
      <c r="F23" s="150">
        <f>F24+F43+F47+F42</f>
        <v>88673.1</v>
      </c>
      <c r="G23" s="222">
        <v>60006.89</v>
      </c>
      <c r="H23" s="150">
        <f t="shared" si="9"/>
        <v>-28666.210000000006</v>
      </c>
      <c r="I23" s="339">
        <f t="shared" si="12"/>
        <v>0.6767203357049657</v>
      </c>
      <c r="J23" s="158">
        <f t="shared" si="1"/>
        <v>-411560.30999999994</v>
      </c>
      <c r="K23" s="158">
        <f t="shared" si="11"/>
        <v>12.72499232346949</v>
      </c>
      <c r="L23" s="158"/>
      <c r="M23" s="158"/>
      <c r="N23" s="158"/>
      <c r="O23" s="158">
        <v>430705.5</v>
      </c>
      <c r="P23" s="158">
        <f t="shared" si="3"/>
        <v>40861.69999999995</v>
      </c>
      <c r="Q23" s="209">
        <f t="shared" si="4"/>
        <v>1.0948715537646954</v>
      </c>
      <c r="R23" s="158">
        <v>79107.24</v>
      </c>
      <c r="S23" s="161">
        <f t="shared" si="5"/>
        <v>-19100.350000000006</v>
      </c>
      <c r="T23" s="208">
        <f aca="true" t="shared" si="14" ref="T23:T41">G23/R23</f>
        <v>0.7585511768581484</v>
      </c>
      <c r="U23" s="157">
        <f>F23-січень!F23</f>
        <v>45465.00000000001</v>
      </c>
      <c r="V23" s="160">
        <f>G23-січень!G23</f>
        <v>16798.75</v>
      </c>
      <c r="W23" s="161">
        <f t="shared" si="10"/>
        <v>-28666.250000000007</v>
      </c>
      <c r="X23" s="209">
        <f t="shared" si="13"/>
        <v>0.3694875178708896</v>
      </c>
      <c r="Y23" s="327">
        <f>T23-Q23</f>
        <v>-0.3363203769065469</v>
      </c>
      <c r="AB23" s="147"/>
    </row>
    <row r="24" spans="1:28" s="6" customFormat="1" ht="18">
      <c r="A24" s="8"/>
      <c r="B24" s="44" t="s">
        <v>81</v>
      </c>
      <c r="C24" s="114">
        <v>18010000</v>
      </c>
      <c r="D24" s="150">
        <f>D25+D32+D35</f>
        <v>216842</v>
      </c>
      <c r="E24" s="150">
        <f>E25+E32+E35</f>
        <v>216842</v>
      </c>
      <c r="F24" s="150">
        <f>F25+F32+F35</f>
        <v>33692.51</v>
      </c>
      <c r="G24" s="222">
        <f>G25+G32+G35</f>
        <v>19858.46</v>
      </c>
      <c r="H24" s="150">
        <f t="shared" si="9"/>
        <v>-13834.050000000003</v>
      </c>
      <c r="I24" s="339">
        <f t="shared" si="12"/>
        <v>0.5894028079237789</v>
      </c>
      <c r="J24" s="158">
        <f t="shared" si="1"/>
        <v>-196983.54</v>
      </c>
      <c r="K24" s="209">
        <f aca="true" t="shared" si="15" ref="K24:K41">G24/E24</f>
        <v>0.0915803211554957</v>
      </c>
      <c r="L24" s="158"/>
      <c r="M24" s="158"/>
      <c r="N24" s="158"/>
      <c r="O24" s="158">
        <v>207231.03</v>
      </c>
      <c r="P24" s="158">
        <f t="shared" si="3"/>
        <v>9610.970000000001</v>
      </c>
      <c r="Q24" s="209">
        <f t="shared" si="4"/>
        <v>1.0463780448323787</v>
      </c>
      <c r="R24" s="158">
        <v>31455.05</v>
      </c>
      <c r="S24" s="161">
        <f t="shared" si="5"/>
        <v>-11596.59</v>
      </c>
      <c r="T24" s="208">
        <f t="shared" si="14"/>
        <v>0.6313281969032</v>
      </c>
      <c r="U24" s="157">
        <f>F24-січень!F24</f>
        <v>15541.000000000004</v>
      </c>
      <c r="V24" s="160">
        <f>G24-січень!G24</f>
        <v>1706.0400000000009</v>
      </c>
      <c r="W24" s="161">
        <f t="shared" si="10"/>
        <v>-13834.960000000003</v>
      </c>
      <c r="X24" s="209">
        <f t="shared" si="13"/>
        <v>0.10977671964481053</v>
      </c>
      <c r="Y24" s="327">
        <f aca="true" t="shared" si="16" ref="Y24:Y99">T24-Q24</f>
        <v>-0.41504984792917876</v>
      </c>
      <c r="AB24" s="406"/>
    </row>
    <row r="25" spans="1:26" s="6" customFormat="1" ht="18">
      <c r="A25" s="8"/>
      <c r="B25" s="50" t="s">
        <v>74</v>
      </c>
      <c r="C25" s="123"/>
      <c r="D25" s="409">
        <f>D26+D27</f>
        <v>28784</v>
      </c>
      <c r="E25" s="244">
        <f>E26+E27</f>
        <v>28784</v>
      </c>
      <c r="F25" s="332">
        <f>F26+F27</f>
        <v>5421</v>
      </c>
      <c r="G25" s="200">
        <v>5007.01</v>
      </c>
      <c r="H25" s="244">
        <f t="shared" si="9"/>
        <v>-413.9899999999998</v>
      </c>
      <c r="I25" s="342">
        <f t="shared" si="12"/>
        <v>0.9236321711861281</v>
      </c>
      <c r="J25" s="245">
        <f t="shared" si="1"/>
        <v>-23776.989999999998</v>
      </c>
      <c r="K25" s="271">
        <f t="shared" si="15"/>
        <v>0.17395115341856587</v>
      </c>
      <c r="L25" s="245"/>
      <c r="M25" s="245"/>
      <c r="N25" s="245"/>
      <c r="O25" s="245">
        <v>25414.16</v>
      </c>
      <c r="P25" s="245">
        <f t="shared" si="3"/>
        <v>3369.84</v>
      </c>
      <c r="Q25" s="271">
        <f t="shared" si="4"/>
        <v>1.1325969459545386</v>
      </c>
      <c r="R25" s="270">
        <v>4408.21</v>
      </c>
      <c r="S25" s="166">
        <f t="shared" si="5"/>
        <v>598.8000000000002</v>
      </c>
      <c r="T25" s="214">
        <f t="shared" si="14"/>
        <v>1.1358374487603813</v>
      </c>
      <c r="U25" s="157">
        <f>F25-січень!F25</f>
        <v>780</v>
      </c>
      <c r="V25" s="160">
        <f>G25-січень!G25</f>
        <v>365.1199999999999</v>
      </c>
      <c r="W25" s="166">
        <f t="shared" si="10"/>
        <v>-414.8800000000001</v>
      </c>
      <c r="X25" s="271">
        <f t="shared" si="13"/>
        <v>0.46810256410256396</v>
      </c>
      <c r="Y25" s="327">
        <f t="shared" si="16"/>
        <v>0.003240502805842649</v>
      </c>
      <c r="Z25" s="147"/>
    </row>
    <row r="26" spans="1:26" s="6" customFormat="1" ht="18" customHeight="1" hidden="1">
      <c r="A26" s="8"/>
      <c r="B26" s="195" t="s">
        <v>109</v>
      </c>
      <c r="C26" s="196"/>
      <c r="D26" s="413">
        <f>D28+D29</f>
        <v>1522</v>
      </c>
      <c r="E26" s="198">
        <f>E28+E29</f>
        <v>1522</v>
      </c>
      <c r="F26" s="198">
        <f>F28+F29</f>
        <v>195.11</v>
      </c>
      <c r="G26" s="198">
        <f>G28+G29</f>
        <v>218.24</v>
      </c>
      <c r="H26" s="222">
        <f t="shared" si="9"/>
        <v>23.129999999999995</v>
      </c>
      <c r="I26" s="343">
        <f t="shared" si="12"/>
        <v>1.1185485110963047</v>
      </c>
      <c r="J26" s="267">
        <f t="shared" si="1"/>
        <v>-1303.76</v>
      </c>
      <c r="K26" s="306">
        <f t="shared" si="15"/>
        <v>0.14339027595269382</v>
      </c>
      <c r="L26" s="267"/>
      <c r="M26" s="267"/>
      <c r="N26" s="267"/>
      <c r="O26" s="267">
        <f>O28+O29</f>
        <v>1512.89</v>
      </c>
      <c r="P26" s="267">
        <f t="shared" si="3"/>
        <v>9.1099999999999</v>
      </c>
      <c r="Q26" s="306">
        <f t="shared" si="4"/>
        <v>1.006021587821983</v>
      </c>
      <c r="R26" s="199">
        <f>R28+R29</f>
        <v>150.23</v>
      </c>
      <c r="S26" s="331">
        <f t="shared" si="5"/>
        <v>68.01000000000002</v>
      </c>
      <c r="T26" s="227">
        <f t="shared" si="14"/>
        <v>1.4527058510284232</v>
      </c>
      <c r="U26" s="234">
        <f>F26-січень!F26</f>
        <v>40</v>
      </c>
      <c r="V26" s="234">
        <f>G26-січень!G26</f>
        <v>63.129999999999995</v>
      </c>
      <c r="W26" s="267">
        <f t="shared" si="10"/>
        <v>23.129999999999995</v>
      </c>
      <c r="X26" s="306">
        <f aca="true" t="shared" si="17" ref="X26:X41">V26/U26*100</f>
        <v>157.825</v>
      </c>
      <c r="Y26" s="327">
        <f t="shared" si="16"/>
        <v>0.4466842632064403</v>
      </c>
      <c r="Z26" s="147"/>
    </row>
    <row r="27" spans="1:26" s="6" customFormat="1" ht="18" customHeight="1" hidden="1">
      <c r="A27" s="8"/>
      <c r="B27" s="195" t="s">
        <v>110</v>
      </c>
      <c r="C27" s="196"/>
      <c r="D27" s="413">
        <f>D30+D31</f>
        <v>27262</v>
      </c>
      <c r="E27" s="198">
        <f>E30+E31</f>
        <v>27262</v>
      </c>
      <c r="F27" s="198">
        <f>F30+F31</f>
        <v>5225.89</v>
      </c>
      <c r="G27" s="198">
        <f>G30+G31</f>
        <v>4788.77</v>
      </c>
      <c r="H27" s="222">
        <f t="shared" si="9"/>
        <v>-437.1199999999999</v>
      </c>
      <c r="I27" s="343">
        <f t="shared" si="12"/>
        <v>0.9163549175355777</v>
      </c>
      <c r="J27" s="267">
        <f t="shared" si="1"/>
        <v>-22473.23</v>
      </c>
      <c r="K27" s="306">
        <f t="shared" si="15"/>
        <v>0.1756573252145844</v>
      </c>
      <c r="L27" s="267"/>
      <c r="M27" s="267"/>
      <c r="N27" s="267"/>
      <c r="O27" s="267">
        <f>O30+O31</f>
        <v>23901.28</v>
      </c>
      <c r="P27" s="267">
        <f t="shared" si="3"/>
        <v>3360.720000000001</v>
      </c>
      <c r="Q27" s="306">
        <f t="shared" si="4"/>
        <v>1.1406083690915299</v>
      </c>
      <c r="R27" s="199">
        <f>R30+R31</f>
        <v>4257.9800000000005</v>
      </c>
      <c r="S27" s="331">
        <f t="shared" si="5"/>
        <v>530.79</v>
      </c>
      <c r="T27" s="227">
        <f t="shared" si="14"/>
        <v>1.1246577015392274</v>
      </c>
      <c r="U27" s="234">
        <f>F27-січень!F27</f>
        <v>740</v>
      </c>
      <c r="V27" s="234">
        <f>G27-січень!G27</f>
        <v>301.9800000000005</v>
      </c>
      <c r="W27" s="267">
        <f t="shared" si="10"/>
        <v>-438.0199999999995</v>
      </c>
      <c r="X27" s="306">
        <f t="shared" si="17"/>
        <v>40.80810810810817</v>
      </c>
      <c r="Y27" s="327">
        <f t="shared" si="16"/>
        <v>-0.015950667552302455</v>
      </c>
      <c r="Z27" s="147"/>
    </row>
    <row r="28" spans="1:25" s="6" customFormat="1" ht="18" customHeight="1" hidden="1">
      <c r="A28" s="8"/>
      <c r="B28" s="336" t="s">
        <v>159</v>
      </c>
      <c r="C28" s="196">
        <v>18010100</v>
      </c>
      <c r="D28" s="422">
        <v>316</v>
      </c>
      <c r="E28" s="349">
        <v>316</v>
      </c>
      <c r="F28" s="350">
        <v>59.3</v>
      </c>
      <c r="G28" s="337">
        <v>29.3</v>
      </c>
      <c r="H28" s="349">
        <f t="shared" si="9"/>
        <v>-29.999999999999996</v>
      </c>
      <c r="I28" s="351">
        <f t="shared" si="12"/>
        <v>0.494097807757167</v>
      </c>
      <c r="J28" s="352">
        <f t="shared" si="1"/>
        <v>-286.7</v>
      </c>
      <c r="K28" s="353">
        <f t="shared" si="15"/>
        <v>0.09272151898734178</v>
      </c>
      <c r="L28" s="267"/>
      <c r="M28" s="267"/>
      <c r="N28" s="267"/>
      <c r="O28" s="352">
        <v>275.91</v>
      </c>
      <c r="P28" s="352">
        <f t="shared" si="3"/>
        <v>40.089999999999975</v>
      </c>
      <c r="Q28" s="353">
        <f t="shared" si="4"/>
        <v>1.1453010039505636</v>
      </c>
      <c r="R28" s="352">
        <v>128.97</v>
      </c>
      <c r="S28" s="352">
        <f t="shared" si="5"/>
        <v>-99.67</v>
      </c>
      <c r="T28" s="353">
        <f t="shared" si="14"/>
        <v>0.22718461657749864</v>
      </c>
      <c r="U28" s="337">
        <f>F28-січень!F28</f>
        <v>29.999999999999996</v>
      </c>
      <c r="V28" s="337">
        <f>G28-січень!G28</f>
        <v>0</v>
      </c>
      <c r="W28" s="352">
        <f t="shared" si="10"/>
        <v>-29.999999999999996</v>
      </c>
      <c r="X28" s="353">
        <f t="shared" si="17"/>
        <v>0</v>
      </c>
      <c r="Y28" s="327"/>
    </row>
    <row r="29" spans="1:25" s="6" customFormat="1" ht="18" customHeight="1" hidden="1">
      <c r="A29" s="8"/>
      <c r="B29" s="336" t="s">
        <v>157</v>
      </c>
      <c r="C29" s="196">
        <v>18010200</v>
      </c>
      <c r="D29" s="422">
        <v>1206</v>
      </c>
      <c r="E29" s="349">
        <v>1206</v>
      </c>
      <c r="F29" s="350">
        <v>135.81</v>
      </c>
      <c r="G29" s="337">
        <v>188.94</v>
      </c>
      <c r="H29" s="349">
        <f t="shared" si="9"/>
        <v>53.129999999999995</v>
      </c>
      <c r="I29" s="351">
        <f t="shared" si="12"/>
        <v>1.3912083057212281</v>
      </c>
      <c r="J29" s="352">
        <f t="shared" si="1"/>
        <v>-1017.06</v>
      </c>
      <c r="K29" s="353">
        <f t="shared" si="15"/>
        <v>0.15666666666666668</v>
      </c>
      <c r="L29" s="267"/>
      <c r="M29" s="267"/>
      <c r="N29" s="267"/>
      <c r="O29" s="352">
        <v>1236.98</v>
      </c>
      <c r="P29" s="352">
        <f t="shared" si="3"/>
        <v>-30.980000000000018</v>
      </c>
      <c r="Q29" s="353">
        <f t="shared" si="4"/>
        <v>0.9749551326618053</v>
      </c>
      <c r="R29" s="352">
        <v>21.26</v>
      </c>
      <c r="S29" s="352">
        <f t="shared" si="5"/>
        <v>167.68</v>
      </c>
      <c r="T29" s="353">
        <f t="shared" si="14"/>
        <v>8.887111947318909</v>
      </c>
      <c r="U29" s="337">
        <f>F29-січень!F29</f>
        <v>10</v>
      </c>
      <c r="V29" s="337">
        <f>G29-січень!G29</f>
        <v>63.129999999999995</v>
      </c>
      <c r="W29" s="352">
        <f t="shared" si="10"/>
        <v>53.129999999999995</v>
      </c>
      <c r="X29" s="353">
        <f t="shared" si="17"/>
        <v>631.3</v>
      </c>
      <c r="Y29" s="327"/>
    </row>
    <row r="30" spans="1:25" s="6" customFormat="1" ht="18" customHeight="1" hidden="1">
      <c r="A30" s="8"/>
      <c r="B30" s="336" t="s">
        <v>158</v>
      </c>
      <c r="C30" s="196">
        <v>18010300</v>
      </c>
      <c r="D30" s="422">
        <v>2355</v>
      </c>
      <c r="E30" s="349">
        <v>2355</v>
      </c>
      <c r="F30" s="350">
        <v>300.09</v>
      </c>
      <c r="G30" s="337">
        <v>395.21</v>
      </c>
      <c r="H30" s="349">
        <f t="shared" si="9"/>
        <v>95.12</v>
      </c>
      <c r="I30" s="351">
        <f t="shared" si="12"/>
        <v>1.3169715751941085</v>
      </c>
      <c r="J30" s="352">
        <f t="shared" si="1"/>
        <v>-1959.79</v>
      </c>
      <c r="K30" s="353">
        <f t="shared" si="15"/>
        <v>0.16781740976645435</v>
      </c>
      <c r="L30" s="267"/>
      <c r="M30" s="267"/>
      <c r="N30" s="267"/>
      <c r="O30" s="352">
        <v>2220.25</v>
      </c>
      <c r="P30" s="352">
        <f t="shared" si="3"/>
        <v>134.75</v>
      </c>
      <c r="Q30" s="353">
        <f t="shared" si="4"/>
        <v>1.0606913635851818</v>
      </c>
      <c r="R30" s="352">
        <v>42.64</v>
      </c>
      <c r="S30" s="352">
        <f t="shared" si="5"/>
        <v>352.57</v>
      </c>
      <c r="T30" s="353">
        <f t="shared" si="14"/>
        <v>9.268527204502814</v>
      </c>
      <c r="U30" s="337">
        <f>F30-січень!F30</f>
        <v>19.999999999999943</v>
      </c>
      <c r="V30" s="337">
        <f>G30-січень!G30</f>
        <v>114.21999999999997</v>
      </c>
      <c r="W30" s="352">
        <f t="shared" si="10"/>
        <v>94.22000000000003</v>
      </c>
      <c r="X30" s="353">
        <f t="shared" si="17"/>
        <v>571.1000000000015</v>
      </c>
      <c r="Y30" s="327"/>
    </row>
    <row r="31" spans="1:25" s="6" customFormat="1" ht="18" customHeight="1" hidden="1">
      <c r="A31" s="8"/>
      <c r="B31" s="336" t="s">
        <v>160</v>
      </c>
      <c r="C31" s="196">
        <v>18010400</v>
      </c>
      <c r="D31" s="422">
        <v>24907</v>
      </c>
      <c r="E31" s="349">
        <v>24907</v>
      </c>
      <c r="F31" s="350">
        <v>4925.8</v>
      </c>
      <c r="G31" s="337">
        <v>4393.56</v>
      </c>
      <c r="H31" s="349">
        <f t="shared" si="9"/>
        <v>-532.2399999999998</v>
      </c>
      <c r="I31" s="351">
        <f t="shared" si="12"/>
        <v>0.8919485159771002</v>
      </c>
      <c r="J31" s="352">
        <f t="shared" si="1"/>
        <v>-20513.44</v>
      </c>
      <c r="K31" s="353">
        <f t="shared" si="15"/>
        <v>0.17639860280242503</v>
      </c>
      <c r="L31" s="267"/>
      <c r="M31" s="267"/>
      <c r="N31" s="267"/>
      <c r="O31" s="352">
        <v>21681.03</v>
      </c>
      <c r="P31" s="352">
        <f t="shared" si="3"/>
        <v>3225.970000000001</v>
      </c>
      <c r="Q31" s="353">
        <f t="shared" si="4"/>
        <v>1.148792285237371</v>
      </c>
      <c r="R31" s="352">
        <v>4215.34</v>
      </c>
      <c r="S31" s="352">
        <f t="shared" si="5"/>
        <v>178.22000000000025</v>
      </c>
      <c r="T31" s="353">
        <f t="shared" si="14"/>
        <v>1.0422789146308484</v>
      </c>
      <c r="U31" s="337">
        <f>F31-січень!F31</f>
        <v>720</v>
      </c>
      <c r="V31" s="337">
        <f>G31-січень!G31</f>
        <v>187.76000000000022</v>
      </c>
      <c r="W31" s="352"/>
      <c r="X31" s="353">
        <f t="shared" si="17"/>
        <v>26.07777777777781</v>
      </c>
      <c r="Y31" s="327"/>
    </row>
    <row r="32" spans="1:25" s="6" customFormat="1" ht="18">
      <c r="A32" s="8"/>
      <c r="B32" s="50" t="s">
        <v>75</v>
      </c>
      <c r="C32" s="123"/>
      <c r="D32" s="423">
        <f>D33+D34</f>
        <v>282</v>
      </c>
      <c r="E32" s="170">
        <f>E33+E34</f>
        <v>282</v>
      </c>
      <c r="F32" s="170">
        <f>F33+F34</f>
        <v>159.03</v>
      </c>
      <c r="G32" s="171">
        <v>201.4</v>
      </c>
      <c r="H32" s="244">
        <f t="shared" si="9"/>
        <v>42.370000000000005</v>
      </c>
      <c r="I32" s="342">
        <f t="shared" si="12"/>
        <v>1.2664277180406214</v>
      </c>
      <c r="J32" s="245">
        <f t="shared" si="1"/>
        <v>-80.6</v>
      </c>
      <c r="K32" s="271">
        <f t="shared" si="15"/>
        <v>0.7141843971631205</v>
      </c>
      <c r="L32" s="245"/>
      <c r="M32" s="245"/>
      <c r="N32" s="245"/>
      <c r="O32" s="245">
        <v>645.26</v>
      </c>
      <c r="P32" s="245">
        <f t="shared" si="3"/>
        <v>-363.26</v>
      </c>
      <c r="Q32" s="271">
        <f t="shared" si="4"/>
        <v>0.43703313393050863</v>
      </c>
      <c r="R32" s="173">
        <v>79.17</v>
      </c>
      <c r="S32" s="173">
        <f t="shared" si="5"/>
        <v>122.23</v>
      </c>
      <c r="T32" s="211">
        <f t="shared" si="14"/>
        <v>2.543892888720475</v>
      </c>
      <c r="U32" s="194">
        <f>F32-січень!F32</f>
        <v>2</v>
      </c>
      <c r="V32" s="178">
        <f>G32-січень!G32</f>
        <v>44.370000000000005</v>
      </c>
      <c r="W32" s="166">
        <f t="shared" si="10"/>
        <v>42.370000000000005</v>
      </c>
      <c r="X32" s="271">
        <f>V32/U32</f>
        <v>22.185000000000002</v>
      </c>
      <c r="Y32" s="328">
        <f t="shared" si="16"/>
        <v>2.1068597547899666</v>
      </c>
    </row>
    <row r="33" spans="1:25" s="6" customFormat="1" ht="15" hidden="1">
      <c r="A33" s="8"/>
      <c r="B33" s="50" t="s">
        <v>161</v>
      </c>
      <c r="C33" s="123">
        <v>18011000</v>
      </c>
      <c r="D33" s="409">
        <v>100</v>
      </c>
      <c r="E33" s="103">
        <v>100</v>
      </c>
      <c r="F33" s="354">
        <v>27.85</v>
      </c>
      <c r="G33" s="140">
        <v>27.85</v>
      </c>
      <c r="H33" s="103">
        <f t="shared" si="9"/>
        <v>0</v>
      </c>
      <c r="I33" s="340">
        <f t="shared" si="12"/>
        <v>1</v>
      </c>
      <c r="J33" s="104">
        <f t="shared" si="1"/>
        <v>-72.15</v>
      </c>
      <c r="K33" s="109">
        <f t="shared" si="15"/>
        <v>0.2785</v>
      </c>
      <c r="L33" s="104"/>
      <c r="M33" s="104"/>
      <c r="N33" s="104"/>
      <c r="O33" s="104">
        <v>241.36</v>
      </c>
      <c r="P33" s="104">
        <f t="shared" si="3"/>
        <v>-141.36</v>
      </c>
      <c r="Q33" s="109">
        <f t="shared" si="4"/>
        <v>0.41431885979449784</v>
      </c>
      <c r="R33" s="104">
        <v>25</v>
      </c>
      <c r="S33" s="104">
        <f t="shared" si="5"/>
        <v>2.8500000000000014</v>
      </c>
      <c r="T33" s="109">
        <f t="shared" si="14"/>
        <v>1.114</v>
      </c>
      <c r="U33" s="105">
        <f>F33-січень!F33</f>
        <v>0</v>
      </c>
      <c r="V33" s="144">
        <f>G33-січень!G33</f>
        <v>0</v>
      </c>
      <c r="W33" s="106">
        <f t="shared" si="10"/>
        <v>0</v>
      </c>
      <c r="X33" s="109" t="e">
        <f>V33/U33</f>
        <v>#DIV/0!</v>
      </c>
      <c r="Y33" s="328"/>
    </row>
    <row r="34" spans="1:25" s="6" customFormat="1" ht="15" hidden="1">
      <c r="A34" s="8"/>
      <c r="B34" s="50" t="s">
        <v>162</v>
      </c>
      <c r="C34" s="123">
        <v>18011100</v>
      </c>
      <c r="D34" s="409">
        <v>182</v>
      </c>
      <c r="E34" s="103">
        <v>182</v>
      </c>
      <c r="F34" s="354">
        <v>131.18</v>
      </c>
      <c r="G34" s="140">
        <v>173.56</v>
      </c>
      <c r="H34" s="103">
        <f t="shared" si="9"/>
        <v>42.379999999999995</v>
      </c>
      <c r="I34" s="340">
        <f t="shared" si="12"/>
        <v>1.323067540783656</v>
      </c>
      <c r="J34" s="104">
        <f t="shared" si="1"/>
        <v>-8.439999999999998</v>
      </c>
      <c r="K34" s="109">
        <f t="shared" si="15"/>
        <v>0.9536263736263736</v>
      </c>
      <c r="L34" s="104"/>
      <c r="M34" s="104"/>
      <c r="N34" s="104"/>
      <c r="O34" s="104">
        <v>403.91</v>
      </c>
      <c r="P34" s="104">
        <f t="shared" si="3"/>
        <v>-221.91000000000003</v>
      </c>
      <c r="Q34" s="109">
        <f t="shared" si="4"/>
        <v>0.45059542967492755</v>
      </c>
      <c r="R34" s="104">
        <v>54.17</v>
      </c>
      <c r="S34" s="104">
        <f t="shared" si="5"/>
        <v>119.39</v>
      </c>
      <c r="T34" s="109">
        <f t="shared" si="14"/>
        <v>3.2039874469263427</v>
      </c>
      <c r="U34" s="105">
        <f>F34-січень!F34</f>
        <v>2</v>
      </c>
      <c r="V34" s="144">
        <f>G34-січень!G34</f>
        <v>44.379999999999995</v>
      </c>
      <c r="W34" s="106"/>
      <c r="X34" s="109">
        <f>V34/U34</f>
        <v>22.189999999999998</v>
      </c>
      <c r="Y34" s="328"/>
    </row>
    <row r="35" spans="1:25" s="6" customFormat="1" ht="18">
      <c r="A35" s="8"/>
      <c r="B35" s="50" t="s">
        <v>76</v>
      </c>
      <c r="C35" s="123"/>
      <c r="D35" s="409">
        <f>D36+D37</f>
        <v>187776</v>
      </c>
      <c r="E35" s="170">
        <f>E36+E37</f>
        <v>187776</v>
      </c>
      <c r="F35" s="170">
        <f>F36+F37</f>
        <v>28112.48</v>
      </c>
      <c r="G35" s="171">
        <v>14650.05</v>
      </c>
      <c r="H35" s="150">
        <f t="shared" si="9"/>
        <v>-13462.43</v>
      </c>
      <c r="I35" s="342">
        <f t="shared" si="12"/>
        <v>0.5211226473082418</v>
      </c>
      <c r="J35" s="245">
        <f t="shared" si="1"/>
        <v>-173125.95</v>
      </c>
      <c r="K35" s="271">
        <f t="shared" si="15"/>
        <v>0.07801875639059304</v>
      </c>
      <c r="L35" s="245"/>
      <c r="M35" s="245"/>
      <c r="N35" s="245"/>
      <c r="O35" s="245">
        <v>181171.61</v>
      </c>
      <c r="P35" s="245">
        <f t="shared" si="3"/>
        <v>6604.390000000014</v>
      </c>
      <c r="Q35" s="271">
        <f t="shared" si="4"/>
        <v>1.0364537799272193</v>
      </c>
      <c r="R35" s="174">
        <v>26967.67</v>
      </c>
      <c r="S35" s="174">
        <f t="shared" si="5"/>
        <v>-12317.619999999999</v>
      </c>
      <c r="T35" s="210">
        <f t="shared" si="14"/>
        <v>0.5432449299476002</v>
      </c>
      <c r="U35" s="194">
        <f>F35-січень!F35</f>
        <v>14759</v>
      </c>
      <c r="V35" s="178">
        <f>G35-січень!G35</f>
        <v>1296.5499999999993</v>
      </c>
      <c r="W35" s="166">
        <f t="shared" si="10"/>
        <v>-13462.45</v>
      </c>
      <c r="X35" s="271">
        <f>V35/U35</f>
        <v>0.08784809268920654</v>
      </c>
      <c r="Y35" s="328">
        <f t="shared" si="16"/>
        <v>-0.4932088499796191</v>
      </c>
    </row>
    <row r="36" spans="1:25" s="6" customFormat="1" ht="18" customHeight="1" hidden="1">
      <c r="A36" s="8"/>
      <c r="B36" s="195" t="s">
        <v>111</v>
      </c>
      <c r="C36" s="196"/>
      <c r="D36" s="424">
        <f>D38+D40</f>
        <v>60690</v>
      </c>
      <c r="E36" s="198">
        <f aca="true" t="shared" si="18" ref="E36:G37">E38+E40</f>
        <v>60690</v>
      </c>
      <c r="F36" s="198">
        <f t="shared" si="18"/>
        <v>9226.23</v>
      </c>
      <c r="G36" s="198">
        <v>4326.71</v>
      </c>
      <c r="H36" s="222">
        <f t="shared" si="9"/>
        <v>-4899.5199999999995</v>
      </c>
      <c r="I36" s="343">
        <f t="shared" si="12"/>
        <v>0.468957526530338</v>
      </c>
      <c r="J36" s="267">
        <f t="shared" si="1"/>
        <v>-56363.29</v>
      </c>
      <c r="K36" s="306">
        <f t="shared" si="15"/>
        <v>0.07129197561377493</v>
      </c>
      <c r="L36" s="267"/>
      <c r="M36" s="267"/>
      <c r="N36" s="267"/>
      <c r="O36" s="267">
        <f>O38+O40</f>
        <v>58608.68</v>
      </c>
      <c r="P36" s="267">
        <f t="shared" si="3"/>
        <v>2081.3199999999997</v>
      </c>
      <c r="Q36" s="306">
        <f t="shared" si="4"/>
        <v>1.0355121459824723</v>
      </c>
      <c r="R36" s="199">
        <f>R38+R40</f>
        <v>8859.21</v>
      </c>
      <c r="S36" s="199">
        <f t="shared" si="5"/>
        <v>-4532.499999999999</v>
      </c>
      <c r="T36" s="227">
        <f t="shared" si="14"/>
        <v>0.4883855332473212</v>
      </c>
      <c r="U36" s="234">
        <f>F36-січень!F36</f>
        <v>5159</v>
      </c>
      <c r="V36" s="234">
        <f>G36-січень!G36</f>
        <v>259.47000000000025</v>
      </c>
      <c r="W36" s="267">
        <f t="shared" si="10"/>
        <v>-4899.53</v>
      </c>
      <c r="X36" s="306">
        <f t="shared" si="17"/>
        <v>5.029463074239199</v>
      </c>
      <c r="Y36" s="327">
        <f t="shared" si="16"/>
        <v>-0.5471266127351511</v>
      </c>
    </row>
    <row r="37" spans="1:25" s="6" customFormat="1" ht="18" customHeight="1" hidden="1">
      <c r="A37" s="8"/>
      <c r="B37" s="195" t="s">
        <v>112</v>
      </c>
      <c r="C37" s="196"/>
      <c r="D37" s="424">
        <f>D39+D41</f>
        <v>127086</v>
      </c>
      <c r="E37" s="198">
        <f t="shared" si="18"/>
        <v>127086</v>
      </c>
      <c r="F37" s="198">
        <f t="shared" si="18"/>
        <v>18886.25</v>
      </c>
      <c r="G37" s="198">
        <f t="shared" si="18"/>
        <v>10341</v>
      </c>
      <c r="H37" s="222">
        <f t="shared" si="9"/>
        <v>-8545.25</v>
      </c>
      <c r="I37" s="343">
        <f t="shared" si="12"/>
        <v>0.5475412006089087</v>
      </c>
      <c r="J37" s="267">
        <f t="shared" si="1"/>
        <v>-116745</v>
      </c>
      <c r="K37" s="306">
        <f t="shared" si="15"/>
        <v>0.08137009584061188</v>
      </c>
      <c r="L37" s="267"/>
      <c r="M37" s="267"/>
      <c r="N37" s="267"/>
      <c r="O37" s="267">
        <f>O39+O41</f>
        <v>122562.93000000001</v>
      </c>
      <c r="P37" s="267">
        <f t="shared" si="3"/>
        <v>4523.069999999992</v>
      </c>
      <c r="Q37" s="306">
        <f t="shared" si="4"/>
        <v>1.0369040622641772</v>
      </c>
      <c r="R37" s="199">
        <f>R39+R41</f>
        <v>18108.45</v>
      </c>
      <c r="S37" s="199">
        <f t="shared" si="5"/>
        <v>-7767.450000000001</v>
      </c>
      <c r="T37" s="227">
        <f t="shared" si="14"/>
        <v>0.5710593673119455</v>
      </c>
      <c r="U37" s="234">
        <f>F37-січень!F37</f>
        <v>9600</v>
      </c>
      <c r="V37" s="234">
        <f>G37-січень!G37</f>
        <v>1054.7399999999998</v>
      </c>
      <c r="W37" s="267">
        <f t="shared" si="10"/>
        <v>-8545.26</v>
      </c>
      <c r="X37" s="306">
        <f t="shared" si="17"/>
        <v>10.986874999999998</v>
      </c>
      <c r="Y37" s="327">
        <f t="shared" si="16"/>
        <v>-0.4658446949522317</v>
      </c>
    </row>
    <row r="38" spans="1:25" s="6" customFormat="1" ht="18" customHeight="1" hidden="1">
      <c r="A38" s="8"/>
      <c r="B38" s="338" t="s">
        <v>163</v>
      </c>
      <c r="C38" s="196">
        <v>18010500</v>
      </c>
      <c r="D38" s="422">
        <v>57290</v>
      </c>
      <c r="E38" s="349">
        <v>57290</v>
      </c>
      <c r="F38" s="349">
        <v>8884.4</v>
      </c>
      <c r="G38" s="337">
        <v>4213.34</v>
      </c>
      <c r="H38" s="349">
        <f t="shared" si="9"/>
        <v>-4671.0599999999995</v>
      </c>
      <c r="I38" s="351">
        <f t="shared" si="12"/>
        <v>0.4742402413218676</v>
      </c>
      <c r="J38" s="352">
        <f t="shared" si="1"/>
        <v>-53076.66</v>
      </c>
      <c r="K38" s="353">
        <f t="shared" si="15"/>
        <v>0.07354407400942573</v>
      </c>
      <c r="L38" s="267"/>
      <c r="M38" s="267"/>
      <c r="N38" s="267"/>
      <c r="O38" s="352">
        <v>55246.24</v>
      </c>
      <c r="P38" s="352">
        <f t="shared" si="3"/>
        <v>2043.760000000002</v>
      </c>
      <c r="Q38" s="353">
        <f t="shared" si="4"/>
        <v>1.0369936487985427</v>
      </c>
      <c r="R38" s="352">
        <v>8645.88</v>
      </c>
      <c r="S38" s="352">
        <f t="shared" si="5"/>
        <v>-4432.539999999999</v>
      </c>
      <c r="T38" s="353">
        <f t="shared" si="14"/>
        <v>0.4873234419168437</v>
      </c>
      <c r="U38" s="337">
        <f>F38-січень!F38</f>
        <v>4900</v>
      </c>
      <c r="V38" s="337">
        <f>G38-січень!G38</f>
        <v>228.9300000000003</v>
      </c>
      <c r="W38" s="352">
        <f t="shared" si="10"/>
        <v>-4671.07</v>
      </c>
      <c r="X38" s="353">
        <f t="shared" si="17"/>
        <v>4.672040816326536</v>
      </c>
      <c r="Y38" s="327"/>
    </row>
    <row r="39" spans="1:25" s="6" customFormat="1" ht="18" customHeight="1" hidden="1">
      <c r="A39" s="8"/>
      <c r="B39" s="338" t="s">
        <v>164</v>
      </c>
      <c r="C39" s="196">
        <v>18010600</v>
      </c>
      <c r="D39" s="422">
        <v>105986</v>
      </c>
      <c r="E39" s="349">
        <v>105986</v>
      </c>
      <c r="F39" s="349">
        <v>15793.45</v>
      </c>
      <c r="G39" s="337">
        <v>8430.28</v>
      </c>
      <c r="H39" s="349">
        <f t="shared" si="9"/>
        <v>-7363.17</v>
      </c>
      <c r="I39" s="351">
        <f t="shared" si="12"/>
        <v>0.5337833089033746</v>
      </c>
      <c r="J39" s="352">
        <f t="shared" si="1"/>
        <v>-97555.72</v>
      </c>
      <c r="K39" s="353">
        <f t="shared" si="15"/>
        <v>0.07954144887060556</v>
      </c>
      <c r="L39" s="267"/>
      <c r="M39" s="267"/>
      <c r="N39" s="267"/>
      <c r="O39" s="352">
        <v>102196.35</v>
      </c>
      <c r="P39" s="352">
        <f t="shared" si="3"/>
        <v>3789.649999999994</v>
      </c>
      <c r="Q39" s="353">
        <f t="shared" si="4"/>
        <v>1.0370820484293226</v>
      </c>
      <c r="R39" s="352">
        <v>14982.8</v>
      </c>
      <c r="S39" s="352">
        <f t="shared" si="5"/>
        <v>-6552.519999999999</v>
      </c>
      <c r="T39" s="353">
        <f t="shared" si="14"/>
        <v>0.5626638545532211</v>
      </c>
      <c r="U39" s="337">
        <f>F39-січень!F39</f>
        <v>8000.000000000001</v>
      </c>
      <c r="V39" s="337">
        <f>G39-січень!G39</f>
        <v>636.8300000000008</v>
      </c>
      <c r="W39" s="352">
        <f t="shared" si="10"/>
        <v>-7363.17</v>
      </c>
      <c r="X39" s="353">
        <f t="shared" si="17"/>
        <v>7.96037500000001</v>
      </c>
      <c r="Y39" s="327"/>
    </row>
    <row r="40" spans="1:25" s="6" customFormat="1" ht="18" customHeight="1" hidden="1">
      <c r="A40" s="8"/>
      <c r="B40" s="338" t="s">
        <v>165</v>
      </c>
      <c r="C40" s="196">
        <v>18010700</v>
      </c>
      <c r="D40" s="422">
        <v>3400</v>
      </c>
      <c r="E40" s="349">
        <v>3400</v>
      </c>
      <c r="F40" s="349">
        <v>341.83</v>
      </c>
      <c r="G40" s="337">
        <v>95.7</v>
      </c>
      <c r="H40" s="349">
        <f t="shared" si="9"/>
        <v>-246.13</v>
      </c>
      <c r="I40" s="351">
        <f t="shared" si="12"/>
        <v>0.279963724658456</v>
      </c>
      <c r="J40" s="352">
        <f t="shared" si="1"/>
        <v>-3304.3</v>
      </c>
      <c r="K40" s="353">
        <f t="shared" si="15"/>
        <v>0.028147058823529414</v>
      </c>
      <c r="L40" s="267"/>
      <c r="M40" s="267"/>
      <c r="N40" s="267"/>
      <c r="O40" s="352">
        <v>3362.44</v>
      </c>
      <c r="P40" s="352">
        <f t="shared" si="3"/>
        <v>37.559999999999945</v>
      </c>
      <c r="Q40" s="353">
        <f t="shared" si="4"/>
        <v>1.0111704595472335</v>
      </c>
      <c r="R40" s="352">
        <v>213.33</v>
      </c>
      <c r="S40" s="352">
        <f t="shared" si="5"/>
        <v>-117.63000000000001</v>
      </c>
      <c r="T40" s="353">
        <f t="shared" si="14"/>
        <v>0.4486007593868654</v>
      </c>
      <c r="U40" s="337">
        <f>F40-січень!F40</f>
        <v>259</v>
      </c>
      <c r="V40" s="337">
        <f>G40-січень!G40</f>
        <v>12.870000000000005</v>
      </c>
      <c r="W40" s="352">
        <f t="shared" si="10"/>
        <v>-246.13</v>
      </c>
      <c r="X40" s="353">
        <f t="shared" si="17"/>
        <v>4.969111969111971</v>
      </c>
      <c r="Y40" s="327"/>
    </row>
    <row r="41" spans="1:25" s="6" customFormat="1" ht="18" customHeight="1" hidden="1">
      <c r="A41" s="8"/>
      <c r="B41" s="338" t="s">
        <v>166</v>
      </c>
      <c r="C41" s="196">
        <v>18010900</v>
      </c>
      <c r="D41" s="422">
        <v>21100</v>
      </c>
      <c r="E41" s="349">
        <v>21100</v>
      </c>
      <c r="F41" s="349">
        <v>3092.8</v>
      </c>
      <c r="G41" s="337">
        <v>1910.72</v>
      </c>
      <c r="H41" s="349">
        <f t="shared" si="9"/>
        <v>-1182.0800000000002</v>
      </c>
      <c r="I41" s="351">
        <f t="shared" si="12"/>
        <v>0.6177961717537506</v>
      </c>
      <c r="J41" s="352">
        <f t="shared" si="1"/>
        <v>-19189.28</v>
      </c>
      <c r="K41" s="353">
        <f t="shared" si="15"/>
        <v>0.09055545023696683</v>
      </c>
      <c r="L41" s="267"/>
      <c r="M41" s="267"/>
      <c r="N41" s="267"/>
      <c r="O41" s="352">
        <v>20366.58</v>
      </c>
      <c r="P41" s="352">
        <f t="shared" si="3"/>
        <v>733.4199999999983</v>
      </c>
      <c r="Q41" s="353">
        <f t="shared" si="4"/>
        <v>1.0360109552021006</v>
      </c>
      <c r="R41" s="352">
        <v>3125.65</v>
      </c>
      <c r="S41" s="352">
        <f t="shared" si="5"/>
        <v>-1214.93</v>
      </c>
      <c r="T41" s="353">
        <f t="shared" si="14"/>
        <v>0.6113032489242237</v>
      </c>
      <c r="U41" s="337">
        <f>F41-січень!F41</f>
        <v>1600.0000000000002</v>
      </c>
      <c r="V41" s="337">
        <f>G41-січень!G41</f>
        <v>417.9100000000001</v>
      </c>
      <c r="W41" s="352">
        <f t="shared" si="10"/>
        <v>-1182.0900000000001</v>
      </c>
      <c r="X41" s="353">
        <f t="shared" si="17"/>
        <v>26.119375</v>
      </c>
      <c r="Y41" s="327"/>
    </row>
    <row r="42" spans="1:25" s="6" customFormat="1" ht="18">
      <c r="A42" s="8"/>
      <c r="B42" s="224" t="s">
        <v>115</v>
      </c>
      <c r="C42" s="221">
        <v>18020000</v>
      </c>
      <c r="D42" s="414"/>
      <c r="E42" s="162">
        <v>0</v>
      </c>
      <c r="F42" s="162">
        <f>E42</f>
        <v>0</v>
      </c>
      <c r="G42" s="198">
        <v>0</v>
      </c>
      <c r="H42" s="150">
        <f t="shared" si="9"/>
        <v>0</v>
      </c>
      <c r="I42" s="339"/>
      <c r="J42" s="158">
        <f t="shared" si="1"/>
        <v>0</v>
      </c>
      <c r="K42" s="158"/>
      <c r="L42" s="158"/>
      <c r="M42" s="158"/>
      <c r="N42" s="158"/>
      <c r="O42" s="158">
        <v>0.2</v>
      </c>
      <c r="P42" s="158">
        <f t="shared" si="3"/>
        <v>-0.2</v>
      </c>
      <c r="Q42" s="209">
        <f t="shared" si="4"/>
        <v>0</v>
      </c>
      <c r="R42" s="167">
        <v>0.2</v>
      </c>
      <c r="S42" s="158">
        <f t="shared" si="5"/>
        <v>-0.2</v>
      </c>
      <c r="T42" s="209"/>
      <c r="U42" s="157">
        <f>F42-січень!F42</f>
        <v>0</v>
      </c>
      <c r="V42" s="160">
        <f>G42-січень!G42</f>
        <v>0</v>
      </c>
      <c r="W42" s="161">
        <f t="shared" si="10"/>
        <v>0</v>
      </c>
      <c r="X42" s="209"/>
      <c r="Y42" s="327">
        <f t="shared" si="16"/>
        <v>0</v>
      </c>
    </row>
    <row r="43" spans="1:25" s="6" customFormat="1" ht="18">
      <c r="A43" s="8"/>
      <c r="B43" s="44" t="s">
        <v>82</v>
      </c>
      <c r="C43" s="114">
        <v>18030000</v>
      </c>
      <c r="D43" s="412">
        <f>D44+D45</f>
        <v>174.4</v>
      </c>
      <c r="E43" s="150">
        <f>E44+E45</f>
        <v>174.4</v>
      </c>
      <c r="F43" s="150">
        <f>F44+F45</f>
        <v>32.43</v>
      </c>
      <c r="G43" s="156">
        <v>16.85</v>
      </c>
      <c r="H43" s="150">
        <f t="shared" si="9"/>
        <v>-15.579999999999998</v>
      </c>
      <c r="I43" s="339">
        <f>G43/F43</f>
        <v>0.5195806352143078</v>
      </c>
      <c r="J43" s="158">
        <f t="shared" si="1"/>
        <v>-157.55</v>
      </c>
      <c r="K43" s="209">
        <f>G43/E43</f>
        <v>0.09661697247706423</v>
      </c>
      <c r="L43" s="158"/>
      <c r="M43" s="158"/>
      <c r="N43" s="158"/>
      <c r="O43" s="158">
        <v>156.82</v>
      </c>
      <c r="P43" s="158">
        <f t="shared" si="3"/>
        <v>17.580000000000013</v>
      </c>
      <c r="Q43" s="209">
        <f t="shared" si="4"/>
        <v>1.112103048080602</v>
      </c>
      <c r="R43" s="167">
        <v>34.2</v>
      </c>
      <c r="S43" s="158">
        <f t="shared" si="5"/>
        <v>-17.35</v>
      </c>
      <c r="T43" s="209">
        <f aca="true" t="shared" si="19" ref="T43:T51">G43/R43</f>
        <v>0.4926900584795322</v>
      </c>
      <c r="U43" s="157">
        <f>F43-січень!F43</f>
        <v>22</v>
      </c>
      <c r="V43" s="160">
        <f>G43-січень!G43</f>
        <v>6.420000000000002</v>
      </c>
      <c r="W43" s="161">
        <f t="shared" si="10"/>
        <v>-15.579999999999998</v>
      </c>
      <c r="X43" s="209">
        <f>V43/U43</f>
        <v>0.2918181818181819</v>
      </c>
      <c r="Y43" s="327">
        <f t="shared" si="16"/>
        <v>-0.6194129896010698</v>
      </c>
    </row>
    <row r="44" spans="1:25" s="6" customFormat="1" ht="15" hidden="1">
      <c r="A44" s="8"/>
      <c r="B44" s="50" t="s">
        <v>167</v>
      </c>
      <c r="C44" s="102">
        <v>18031000</v>
      </c>
      <c r="D44" s="409">
        <v>100.9</v>
      </c>
      <c r="E44" s="103">
        <v>100.9</v>
      </c>
      <c r="F44" s="103">
        <v>24.9</v>
      </c>
      <c r="G44" s="140">
        <v>12.54</v>
      </c>
      <c r="H44" s="103">
        <f t="shared" si="9"/>
        <v>-12.36</v>
      </c>
      <c r="I44" s="340">
        <f>G44/F44</f>
        <v>0.5036144578313253</v>
      </c>
      <c r="J44" s="104">
        <f t="shared" si="1"/>
        <v>-88.36000000000001</v>
      </c>
      <c r="K44" s="109">
        <f>G44/E44</f>
        <v>0.12428146679881069</v>
      </c>
      <c r="L44" s="104"/>
      <c r="M44" s="104"/>
      <c r="N44" s="104"/>
      <c r="O44" s="104">
        <v>95.14</v>
      </c>
      <c r="P44" s="104">
        <f t="shared" si="3"/>
        <v>5.760000000000005</v>
      </c>
      <c r="Q44" s="109">
        <f t="shared" si="4"/>
        <v>1.0605423586293883</v>
      </c>
      <c r="R44" s="104">
        <v>19.86</v>
      </c>
      <c r="S44" s="104">
        <f t="shared" si="5"/>
        <v>-7.32</v>
      </c>
      <c r="T44" s="109">
        <f t="shared" si="19"/>
        <v>0.6314199395770392</v>
      </c>
      <c r="U44" s="105">
        <f>F44-січень!F44</f>
        <v>14.999999999999998</v>
      </c>
      <c r="V44" s="144">
        <f>G44-січень!G44</f>
        <v>2.639999999999999</v>
      </c>
      <c r="W44" s="106">
        <f t="shared" si="10"/>
        <v>-12.36</v>
      </c>
      <c r="X44" s="109">
        <f>V44/U44</f>
        <v>0.17599999999999993</v>
      </c>
      <c r="Y44" s="327"/>
    </row>
    <row r="45" spans="1:25" s="6" customFormat="1" ht="15" hidden="1">
      <c r="A45" s="8"/>
      <c r="B45" s="50" t="s">
        <v>168</v>
      </c>
      <c r="C45" s="102">
        <v>18031100</v>
      </c>
      <c r="D45" s="409">
        <v>73.5</v>
      </c>
      <c r="E45" s="103">
        <v>73.5</v>
      </c>
      <c r="F45" s="103">
        <v>7.53</v>
      </c>
      <c r="G45" s="140">
        <v>4.31</v>
      </c>
      <c r="H45" s="103">
        <f t="shared" si="9"/>
        <v>-3.2200000000000006</v>
      </c>
      <c r="I45" s="340">
        <f>G45/F45</f>
        <v>0.5723771580345285</v>
      </c>
      <c r="J45" s="104">
        <f t="shared" si="1"/>
        <v>-69.19</v>
      </c>
      <c r="K45" s="109">
        <f>G45/E45</f>
        <v>0.05863945578231292</v>
      </c>
      <c r="L45" s="104"/>
      <c r="M45" s="104"/>
      <c r="N45" s="104"/>
      <c r="O45" s="104">
        <v>61.68</v>
      </c>
      <c r="P45" s="104">
        <f t="shared" si="3"/>
        <v>11.82</v>
      </c>
      <c r="Q45" s="109">
        <f t="shared" si="4"/>
        <v>1.1916342412451362</v>
      </c>
      <c r="R45" s="104">
        <v>14.34</v>
      </c>
      <c r="S45" s="104">
        <f t="shared" si="5"/>
        <v>-10.030000000000001</v>
      </c>
      <c r="T45" s="109">
        <f t="shared" si="19"/>
        <v>0.300557880055788</v>
      </c>
      <c r="U45" s="105">
        <f>F45-січень!F45</f>
        <v>7</v>
      </c>
      <c r="V45" s="144">
        <f>G45-січень!G45</f>
        <v>3.7799999999999994</v>
      </c>
      <c r="W45" s="106">
        <f t="shared" si="10"/>
        <v>-3.2200000000000006</v>
      </c>
      <c r="X45" s="109">
        <f>V45/U45</f>
        <v>0.5399999999999999</v>
      </c>
      <c r="Y45" s="327"/>
    </row>
    <row r="46" spans="1:25" s="6" customFormat="1" ht="30.75">
      <c r="A46" s="8"/>
      <c r="B46" s="224" t="s">
        <v>83</v>
      </c>
      <c r="C46" s="114">
        <v>18040000</v>
      </c>
      <c r="D46" s="412"/>
      <c r="E46" s="150"/>
      <c r="F46" s="150"/>
      <c r="G46" s="156">
        <v>-1.3</v>
      </c>
      <c r="H46" s="150">
        <f t="shared" si="9"/>
        <v>-1.3</v>
      </c>
      <c r="I46" s="339"/>
      <c r="J46" s="158">
        <f t="shared" si="1"/>
        <v>-1.3</v>
      </c>
      <c r="K46" s="209"/>
      <c r="L46" s="158"/>
      <c r="M46" s="158"/>
      <c r="N46" s="158"/>
      <c r="O46" s="158">
        <v>-50.78</v>
      </c>
      <c r="P46" s="158">
        <f t="shared" si="3"/>
        <v>50.78</v>
      </c>
      <c r="Q46" s="209">
        <f t="shared" si="4"/>
        <v>0</v>
      </c>
      <c r="R46" s="158">
        <v>-10.76</v>
      </c>
      <c r="S46" s="158">
        <f t="shared" si="5"/>
        <v>9.459999999999999</v>
      </c>
      <c r="T46" s="209">
        <f t="shared" si="19"/>
        <v>0.120817843866171</v>
      </c>
      <c r="U46" s="157">
        <f>F46-січень!F46</f>
        <v>0</v>
      </c>
      <c r="V46" s="160">
        <f>G46-січень!G46</f>
        <v>-0.39</v>
      </c>
      <c r="W46" s="161">
        <f t="shared" si="10"/>
        <v>-0.39</v>
      </c>
      <c r="X46" s="209"/>
      <c r="Y46" s="327">
        <f t="shared" si="16"/>
        <v>0.120817843866171</v>
      </c>
    </row>
    <row r="47" spans="1:25" s="6" customFormat="1" ht="18">
      <c r="A47" s="8"/>
      <c r="B47" s="44" t="s">
        <v>84</v>
      </c>
      <c r="C47" s="114">
        <v>18050000</v>
      </c>
      <c r="D47" s="412">
        <f>D48+D49+D50+D51</f>
        <v>254550.8</v>
      </c>
      <c r="E47" s="162">
        <f>E48+E49+E50+E51</f>
        <v>254550.8</v>
      </c>
      <c r="F47" s="162">
        <f>F48+F49+F50+F51</f>
        <v>54948.16</v>
      </c>
      <c r="G47" s="163">
        <v>40132.88</v>
      </c>
      <c r="H47" s="150">
        <f t="shared" si="9"/>
        <v>-14815.280000000006</v>
      </c>
      <c r="I47" s="339">
        <f>G47/F47*100</f>
        <v>73.0377140927012</v>
      </c>
      <c r="J47" s="158">
        <f t="shared" si="1"/>
        <v>-214417.91999999998</v>
      </c>
      <c r="K47" s="209">
        <f>G47/E47</f>
        <v>0.15766157482121446</v>
      </c>
      <c r="L47" s="158"/>
      <c r="M47" s="158"/>
      <c r="N47" s="158"/>
      <c r="O47" s="158">
        <v>223368.23</v>
      </c>
      <c r="P47" s="158">
        <f t="shared" si="3"/>
        <v>31182.569999999978</v>
      </c>
      <c r="Q47" s="209">
        <f t="shared" si="4"/>
        <v>1.139601634484904</v>
      </c>
      <c r="R47" s="177">
        <v>47628.56</v>
      </c>
      <c r="S47" s="177">
        <f t="shared" si="5"/>
        <v>-7495.68</v>
      </c>
      <c r="T47" s="225">
        <f t="shared" si="19"/>
        <v>0.8426221577977583</v>
      </c>
      <c r="U47" s="157">
        <f>F47-січень!F47</f>
        <v>29902.000000000004</v>
      </c>
      <c r="V47" s="160">
        <f>G47-січень!G47</f>
        <v>15086.679999999997</v>
      </c>
      <c r="W47" s="161">
        <f t="shared" si="10"/>
        <v>-14815.320000000007</v>
      </c>
      <c r="X47" s="209">
        <f>V47/U47</f>
        <v>0.5045374891311616</v>
      </c>
      <c r="Y47" s="327">
        <f t="shared" si="16"/>
        <v>-0.29697947668714575</v>
      </c>
    </row>
    <row r="48" spans="1:25" s="6" customFormat="1" ht="15" customHeight="1" hidden="1">
      <c r="A48" s="8"/>
      <c r="B48" s="50" t="s">
        <v>90</v>
      </c>
      <c r="C48" s="102">
        <v>18050200</v>
      </c>
      <c r="D48" s="409"/>
      <c r="E48" s="103">
        <v>0</v>
      </c>
      <c r="F48" s="103">
        <f>E48</f>
        <v>0</v>
      </c>
      <c r="G48" s="140">
        <v>0.01</v>
      </c>
      <c r="H48" s="103">
        <f>G48-F48</f>
        <v>0.01</v>
      </c>
      <c r="I48" s="340"/>
      <c r="J48" s="104">
        <f t="shared" si="1"/>
        <v>0.01</v>
      </c>
      <c r="K48" s="109"/>
      <c r="L48" s="104"/>
      <c r="M48" s="104"/>
      <c r="N48" s="104"/>
      <c r="O48" s="104">
        <v>0.01</v>
      </c>
      <c r="P48" s="104">
        <f t="shared" si="3"/>
        <v>-0.01</v>
      </c>
      <c r="Q48" s="109">
        <f t="shared" si="4"/>
        <v>0</v>
      </c>
      <c r="R48" s="127">
        <f>O48</f>
        <v>0.01</v>
      </c>
      <c r="S48" s="127">
        <f t="shared" si="5"/>
        <v>0</v>
      </c>
      <c r="T48" s="215">
        <f t="shared" si="19"/>
        <v>1</v>
      </c>
      <c r="U48" s="105">
        <f>F48-січень!F48</f>
        <v>0</v>
      </c>
      <c r="V48" s="144">
        <f>G48-січень!G48</f>
        <v>0</v>
      </c>
      <c r="W48" s="106">
        <f t="shared" si="10"/>
        <v>0</v>
      </c>
      <c r="X48" s="109"/>
      <c r="Y48" s="327">
        <f t="shared" si="16"/>
        <v>1</v>
      </c>
    </row>
    <row r="49" spans="1:25" s="6" customFormat="1" ht="15" customHeight="1" hidden="1">
      <c r="A49" s="8"/>
      <c r="B49" s="50" t="s">
        <v>91</v>
      </c>
      <c r="C49" s="102">
        <v>18050300</v>
      </c>
      <c r="D49" s="409">
        <v>55715</v>
      </c>
      <c r="E49" s="103">
        <v>55715</v>
      </c>
      <c r="F49" s="103">
        <v>10683.87</v>
      </c>
      <c r="G49" s="140">
        <v>7167.59</v>
      </c>
      <c r="H49" s="103">
        <f>G49-F49</f>
        <v>-3516.2800000000007</v>
      </c>
      <c r="I49" s="340">
        <f>G49/F49</f>
        <v>0.6708795595603465</v>
      </c>
      <c r="J49" s="104">
        <f t="shared" si="1"/>
        <v>-48547.41</v>
      </c>
      <c r="K49" s="109">
        <f>G49/E49</f>
        <v>0.1286474019563852</v>
      </c>
      <c r="L49" s="104"/>
      <c r="M49" s="104"/>
      <c r="N49" s="104"/>
      <c r="O49" s="104">
        <v>45030.34</v>
      </c>
      <c r="P49" s="104">
        <f t="shared" si="3"/>
        <v>10684.660000000003</v>
      </c>
      <c r="Q49" s="109">
        <f t="shared" si="4"/>
        <v>1.2372769115223203</v>
      </c>
      <c r="R49" s="127">
        <v>9755.95</v>
      </c>
      <c r="S49" s="127">
        <f t="shared" si="5"/>
        <v>-2588.3600000000006</v>
      </c>
      <c r="T49" s="215">
        <f t="shared" si="19"/>
        <v>0.7346890871724434</v>
      </c>
      <c r="U49" s="105">
        <f>F49-січень!F49</f>
        <v>6800.000000000001</v>
      </c>
      <c r="V49" s="144">
        <f>G49-січень!G49</f>
        <v>3283.7200000000003</v>
      </c>
      <c r="W49" s="106">
        <f t="shared" si="10"/>
        <v>-3516.2800000000007</v>
      </c>
      <c r="X49" s="109">
        <f>V49/U49</f>
        <v>0.4829</v>
      </c>
      <c r="Y49" s="327">
        <f t="shared" si="16"/>
        <v>-0.5025878243498769</v>
      </c>
    </row>
    <row r="50" spans="1:25" s="6" customFormat="1" ht="15" customHeight="1" hidden="1">
      <c r="A50" s="8"/>
      <c r="B50" s="50" t="s">
        <v>92</v>
      </c>
      <c r="C50" s="102">
        <v>18050400</v>
      </c>
      <c r="D50" s="409">
        <v>198755</v>
      </c>
      <c r="E50" s="103">
        <v>198755</v>
      </c>
      <c r="F50" s="103">
        <v>44240.49</v>
      </c>
      <c r="G50" s="140">
        <v>32943.46</v>
      </c>
      <c r="H50" s="103">
        <f>G50-F50</f>
        <v>-11297.029999999999</v>
      </c>
      <c r="I50" s="340">
        <f>G50/F50</f>
        <v>0.7446450073224777</v>
      </c>
      <c r="J50" s="104">
        <f t="shared" si="1"/>
        <v>-165811.54</v>
      </c>
      <c r="K50" s="109">
        <f>G50/E50</f>
        <v>0.165749088073256</v>
      </c>
      <c r="L50" s="104"/>
      <c r="M50" s="104"/>
      <c r="N50" s="104"/>
      <c r="O50" s="104">
        <v>178270.24</v>
      </c>
      <c r="P50" s="104">
        <f t="shared" si="3"/>
        <v>20484.76000000001</v>
      </c>
      <c r="Q50" s="109">
        <f t="shared" si="4"/>
        <v>1.11490846705541</v>
      </c>
      <c r="R50" s="127">
        <v>37856.5</v>
      </c>
      <c r="S50" s="127">
        <f t="shared" si="5"/>
        <v>-4913.040000000001</v>
      </c>
      <c r="T50" s="215">
        <f t="shared" si="19"/>
        <v>0.8702193810838297</v>
      </c>
      <c r="U50" s="105">
        <f>F50-січень!F50</f>
        <v>23099.999999999996</v>
      </c>
      <c r="V50" s="144">
        <f>G50-січень!G50</f>
        <v>11802.969999999998</v>
      </c>
      <c r="W50" s="106">
        <f t="shared" si="10"/>
        <v>-11297.029999999999</v>
      </c>
      <c r="X50" s="109">
        <f>V50/U50</f>
        <v>0.5109510822510822</v>
      </c>
      <c r="Y50" s="327">
        <f t="shared" si="16"/>
        <v>-0.24468908597158023</v>
      </c>
    </row>
    <row r="51" spans="1:25" s="6" customFormat="1" ht="15" customHeight="1" hidden="1">
      <c r="A51" s="8"/>
      <c r="B51" s="50" t="s">
        <v>93</v>
      </c>
      <c r="C51" s="102">
        <v>18050500</v>
      </c>
      <c r="D51" s="409">
        <v>80.8</v>
      </c>
      <c r="E51" s="103">
        <v>80.8</v>
      </c>
      <c r="F51" s="103">
        <v>23.8</v>
      </c>
      <c r="G51" s="140">
        <v>21.84</v>
      </c>
      <c r="H51" s="103">
        <f>G51-F51</f>
        <v>-1.9600000000000009</v>
      </c>
      <c r="I51" s="340">
        <f>G51/F51</f>
        <v>0.9176470588235294</v>
      </c>
      <c r="J51" s="104">
        <f t="shared" si="1"/>
        <v>-58.959999999999994</v>
      </c>
      <c r="K51" s="109">
        <f>G51/E51</f>
        <v>0.2702970297029703</v>
      </c>
      <c r="L51" s="104"/>
      <c r="M51" s="104"/>
      <c r="N51" s="104"/>
      <c r="O51" s="104">
        <v>67.63</v>
      </c>
      <c r="P51" s="104">
        <f t="shared" si="3"/>
        <v>13.170000000000002</v>
      </c>
      <c r="Q51" s="109">
        <f t="shared" si="4"/>
        <v>1.1947360638769777</v>
      </c>
      <c r="R51" s="127">
        <v>16.11</v>
      </c>
      <c r="S51" s="127">
        <f t="shared" si="5"/>
        <v>5.73</v>
      </c>
      <c r="T51" s="215">
        <f t="shared" si="19"/>
        <v>1.3556797020484173</v>
      </c>
      <c r="U51" s="105">
        <f>F51-січень!F51</f>
        <v>2</v>
      </c>
      <c r="V51" s="144">
        <f>G51-січень!G51</f>
        <v>0</v>
      </c>
      <c r="W51" s="106">
        <f t="shared" si="10"/>
        <v>-2</v>
      </c>
      <c r="X51" s="109"/>
      <c r="Y51" s="327">
        <f t="shared" si="16"/>
        <v>0.16094363817143953</v>
      </c>
    </row>
    <row r="52" spans="1:25" s="6" customFormat="1" ht="15" customHeight="1" hidden="1">
      <c r="A52" s="8"/>
      <c r="B52" s="231"/>
      <c r="C52" s="43"/>
      <c r="D52" s="408"/>
      <c r="E52" s="34">
        <v>0</v>
      </c>
      <c r="F52" s="34">
        <f>E52</f>
        <v>0</v>
      </c>
      <c r="G52" s="264">
        <v>0</v>
      </c>
      <c r="H52" s="34">
        <f>G52-F52</f>
        <v>0</v>
      </c>
      <c r="I52" s="339"/>
      <c r="J52" s="119">
        <f t="shared" si="1"/>
        <v>0</v>
      </c>
      <c r="K52" s="94"/>
      <c r="L52" s="37"/>
      <c r="M52" s="37"/>
      <c r="N52" s="37"/>
      <c r="O52" s="37"/>
      <c r="P52" s="37"/>
      <c r="Q52" s="94"/>
      <c r="R52" s="119">
        <v>0</v>
      </c>
      <c r="S52" s="119">
        <f t="shared" si="5"/>
        <v>0</v>
      </c>
      <c r="T52" s="216"/>
      <c r="U52" s="137">
        <f>F52-січень!F52</f>
        <v>0</v>
      </c>
      <c r="V52" s="145">
        <f>G52-січень!G52</f>
        <v>0</v>
      </c>
      <c r="W52" s="161">
        <f t="shared" si="10"/>
        <v>0</v>
      </c>
      <c r="X52" s="94"/>
      <c r="Y52" s="327">
        <f t="shared" si="16"/>
        <v>0</v>
      </c>
    </row>
    <row r="53" spans="1:25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47248.9</v>
      </c>
      <c r="E53" s="151">
        <f>E54+E55+E56+E57+E58+E60+E62+E63+E64+E65+E66+E71+E72+E76+E59+E61</f>
        <v>47248.9</v>
      </c>
      <c r="F53" s="151">
        <f>F54+F55+F56+F57+F58+F60+F62+F63+F64+F65+F66+F71+F72+F76+F59+F61</f>
        <v>6835.548000000001</v>
      </c>
      <c r="G53" s="151">
        <f>G54+G55+G56+G57+G58+G60+G62+G63+G64+G65+G66+G71+G72+G76+G59+G61</f>
        <v>5391.47</v>
      </c>
      <c r="H53" s="151">
        <f>H54+H55+H56+H57+H58+H60+H62+H63+H64+H65+H66+H71+H72+H76+H59+H61</f>
        <v>-1444.0780000000004</v>
      </c>
      <c r="I53" s="204">
        <f aca="true" t="shared" si="20" ref="I53:I72">G53/F53</f>
        <v>0.7887399810519946</v>
      </c>
      <c r="J53" s="153">
        <f>G53-E53</f>
        <v>-41857.43</v>
      </c>
      <c r="K53" s="218">
        <f aca="true" t="shared" si="21" ref="K53:K72">G53/E53</f>
        <v>0.11410784166403874</v>
      </c>
      <c r="L53" s="153"/>
      <c r="M53" s="153"/>
      <c r="N53" s="153"/>
      <c r="O53" s="153">
        <v>69380.98</v>
      </c>
      <c r="P53" s="153">
        <f>E53-O53</f>
        <v>-22132.079999999994</v>
      </c>
      <c r="Q53" s="218">
        <f>E53/O53</f>
        <v>0.681006523689922</v>
      </c>
      <c r="R53" s="262">
        <v>4227.73</v>
      </c>
      <c r="S53" s="151">
        <f t="shared" si="5"/>
        <v>1163.7400000000007</v>
      </c>
      <c r="T53" s="204">
        <f>G53/R53</f>
        <v>1.275263557511951</v>
      </c>
      <c r="U53" s="151">
        <f>U54+U55+U56+U57+U58+U60+U62+U63+U64+U65+U66+U71+U72+U76+U59+U61</f>
        <v>3587.788</v>
      </c>
      <c r="V53" s="151">
        <f>V54+V55+V56+V57+V58+V60+V62+V63+V64+V65+V66+V71+V72+V76+V59+V61</f>
        <v>2143.71</v>
      </c>
      <c r="W53" s="151">
        <f>W54+W55+W56+W57+W58+W60+W62+W63+W64+W65+W66+W71+W72+W76</f>
        <v>-1432.5480000000002</v>
      </c>
      <c r="X53" s="204">
        <f>V53/U53</f>
        <v>0.5975018590842045</v>
      </c>
      <c r="Y53" s="327">
        <f t="shared" si="16"/>
        <v>0.5942570338220291</v>
      </c>
    </row>
    <row r="54" spans="1:25" s="6" customFormat="1" ht="46.5">
      <c r="A54" s="8"/>
      <c r="B54" s="224" t="s">
        <v>98</v>
      </c>
      <c r="C54" s="43">
        <v>21010301</v>
      </c>
      <c r="D54" s="412">
        <v>2650</v>
      </c>
      <c r="E54" s="150">
        <v>2650</v>
      </c>
      <c r="F54" s="150">
        <v>6.11</v>
      </c>
      <c r="G54" s="156">
        <v>1.11</v>
      </c>
      <c r="H54" s="150">
        <f aca="true" t="shared" si="22" ref="H54:H78">G54-F54</f>
        <v>-5</v>
      </c>
      <c r="I54" s="344">
        <f t="shared" si="20"/>
        <v>0.18166939443535188</v>
      </c>
      <c r="J54" s="165">
        <f>G54-E54</f>
        <v>-2648.89</v>
      </c>
      <c r="K54" s="217">
        <f t="shared" si="21"/>
        <v>0.0004188679245283019</v>
      </c>
      <c r="L54" s="165"/>
      <c r="M54" s="165"/>
      <c r="N54" s="165"/>
      <c r="O54" s="165">
        <v>2633.96</v>
      </c>
      <c r="P54" s="165">
        <f>E54-O54</f>
        <v>16.039999999999964</v>
      </c>
      <c r="Q54" s="217">
        <f>E54/O54</f>
        <v>1.0060896900484442</v>
      </c>
      <c r="R54" s="165">
        <v>9.18</v>
      </c>
      <c r="S54" s="165">
        <f t="shared" si="5"/>
        <v>-8.07</v>
      </c>
      <c r="T54" s="217">
        <f>G54/R54</f>
        <v>0.12091503267973858</v>
      </c>
      <c r="U54" s="157">
        <f>F54-січень!F54</f>
        <v>5</v>
      </c>
      <c r="V54" s="160">
        <f>G54-січень!G54</f>
        <v>0</v>
      </c>
      <c r="W54" s="161">
        <f aca="true" t="shared" si="23" ref="W54:W78">V54-U54</f>
        <v>-5</v>
      </c>
      <c r="X54" s="217">
        <f>V54/U54</f>
        <v>0</v>
      </c>
      <c r="Y54" s="327">
        <f t="shared" si="16"/>
        <v>-0.8851746573687056</v>
      </c>
    </row>
    <row r="55" spans="1:25" s="6" customFormat="1" ht="30.75">
      <c r="A55" s="8"/>
      <c r="B55" s="129" t="s">
        <v>77</v>
      </c>
      <c r="C55" s="42">
        <v>21050000</v>
      </c>
      <c r="D55" s="426">
        <v>5000</v>
      </c>
      <c r="E55" s="150">
        <v>5000</v>
      </c>
      <c r="F55" s="150">
        <v>280.078</v>
      </c>
      <c r="G55" s="156">
        <v>280.08</v>
      </c>
      <c r="H55" s="150">
        <f t="shared" si="22"/>
        <v>0.0020000000000095497</v>
      </c>
      <c r="I55" s="344">
        <f t="shared" si="20"/>
        <v>1.0000071408679012</v>
      </c>
      <c r="J55" s="165">
        <f aca="true" t="shared" si="24" ref="J55:J78">G55-E55</f>
        <v>-4719.92</v>
      </c>
      <c r="K55" s="217">
        <f t="shared" si="21"/>
        <v>0.056015999999999996</v>
      </c>
      <c r="L55" s="165"/>
      <c r="M55" s="165"/>
      <c r="N55" s="165"/>
      <c r="O55" s="165">
        <v>27997.6</v>
      </c>
      <c r="P55" s="165">
        <f aca="true" t="shared" si="25" ref="P55:P72">E55-O55</f>
        <v>-22997.6</v>
      </c>
      <c r="Q55" s="217">
        <f aca="true" t="shared" si="26" ref="Q55:Q72">E55/O55</f>
        <v>0.17858673600594338</v>
      </c>
      <c r="R55" s="165">
        <v>2116.32</v>
      </c>
      <c r="S55" s="165">
        <f t="shared" si="5"/>
        <v>-1836.2400000000002</v>
      </c>
      <c r="T55" s="217">
        <f aca="true" t="shared" si="27" ref="T55:T78">G55/R55</f>
        <v>0.13234293490587434</v>
      </c>
      <c r="U55" s="157">
        <f>F55-січень!F55</f>
        <v>280.078</v>
      </c>
      <c r="V55" s="160">
        <f>G55-січень!G55</f>
        <v>280.08</v>
      </c>
      <c r="W55" s="161">
        <f t="shared" si="23"/>
        <v>0.0020000000000095497</v>
      </c>
      <c r="X55" s="217">
        <f aca="true" t="shared" si="28" ref="X55:X77">V55/U55</f>
        <v>1.0000071408679012</v>
      </c>
      <c r="Y55" s="327">
        <f t="shared" si="16"/>
        <v>-0.04624380110006904</v>
      </c>
    </row>
    <row r="56" spans="1:25" s="6" customFormat="1" ht="18">
      <c r="A56" s="8"/>
      <c r="B56" s="129" t="s">
        <v>61</v>
      </c>
      <c r="C56" s="42">
        <v>21080500</v>
      </c>
      <c r="D56" s="426">
        <v>158</v>
      </c>
      <c r="E56" s="150">
        <v>158</v>
      </c>
      <c r="F56" s="150">
        <v>14</v>
      </c>
      <c r="G56" s="156">
        <v>1.44</v>
      </c>
      <c r="H56" s="150">
        <f t="shared" si="22"/>
        <v>-12.56</v>
      </c>
      <c r="I56" s="344">
        <f t="shared" si="20"/>
        <v>0.10285714285714286</v>
      </c>
      <c r="J56" s="165">
        <f t="shared" si="24"/>
        <v>-156.56</v>
      </c>
      <c r="K56" s="217">
        <f t="shared" si="21"/>
        <v>0.009113924050632912</v>
      </c>
      <c r="L56" s="165"/>
      <c r="M56" s="165"/>
      <c r="N56" s="165"/>
      <c r="O56" s="165">
        <v>153.3</v>
      </c>
      <c r="P56" s="165">
        <f t="shared" si="25"/>
        <v>4.699999999999989</v>
      </c>
      <c r="Q56" s="217">
        <f t="shared" si="26"/>
        <v>1.030658838878017</v>
      </c>
      <c r="R56" s="165">
        <v>57.08</v>
      </c>
      <c r="S56" s="165">
        <f t="shared" si="5"/>
        <v>-55.64</v>
      </c>
      <c r="T56" s="217">
        <f t="shared" si="27"/>
        <v>0.025227750525578137</v>
      </c>
      <c r="U56" s="157">
        <f>F56-січень!F56</f>
        <v>14</v>
      </c>
      <c r="V56" s="160">
        <f>G56-січень!G56</f>
        <v>1.44</v>
      </c>
      <c r="W56" s="161">
        <f t="shared" si="23"/>
        <v>-12.56</v>
      </c>
      <c r="X56" s="217">
        <f t="shared" si="28"/>
        <v>0.10285714285714286</v>
      </c>
      <c r="Y56" s="327">
        <f t="shared" si="16"/>
        <v>-1.0054310883524387</v>
      </c>
    </row>
    <row r="57" spans="1:25" s="6" customFormat="1" ht="31.5">
      <c r="A57" s="8"/>
      <c r="B57" s="235" t="s">
        <v>39</v>
      </c>
      <c r="C57" s="71">
        <v>21080900</v>
      </c>
      <c r="D57" s="427">
        <v>13</v>
      </c>
      <c r="E57" s="150">
        <v>13</v>
      </c>
      <c r="F57" s="150">
        <v>3</v>
      </c>
      <c r="G57" s="156">
        <v>2.02</v>
      </c>
      <c r="H57" s="150">
        <f t="shared" si="22"/>
        <v>-0.98</v>
      </c>
      <c r="I57" s="344">
        <f t="shared" si="20"/>
        <v>0.6733333333333333</v>
      </c>
      <c r="J57" s="165">
        <f t="shared" si="24"/>
        <v>-10.98</v>
      </c>
      <c r="K57" s="217">
        <f t="shared" si="21"/>
        <v>0.1553846153846154</v>
      </c>
      <c r="L57" s="165"/>
      <c r="M57" s="165"/>
      <c r="N57" s="165"/>
      <c r="O57" s="165">
        <v>12.95</v>
      </c>
      <c r="P57" s="165">
        <f t="shared" si="25"/>
        <v>0.05000000000000071</v>
      </c>
      <c r="Q57" s="356">
        <f t="shared" si="26"/>
        <v>1.0038610038610039</v>
      </c>
      <c r="R57" s="165">
        <v>2.03</v>
      </c>
      <c r="S57" s="165">
        <f t="shared" si="5"/>
        <v>-0.009999999999999787</v>
      </c>
      <c r="T57" s="217"/>
      <c r="U57" s="157">
        <f>F57-січень!F57</f>
        <v>1</v>
      </c>
      <c r="V57" s="160">
        <f>G57-січень!G57</f>
        <v>0</v>
      </c>
      <c r="W57" s="161">
        <f t="shared" si="23"/>
        <v>-1</v>
      </c>
      <c r="X57" s="217">
        <f t="shared" si="28"/>
        <v>0</v>
      </c>
      <c r="Y57" s="327">
        <f t="shared" si="16"/>
        <v>-1.0038610038610039</v>
      </c>
    </row>
    <row r="58" spans="1:25" s="6" customFormat="1" ht="18">
      <c r="A58" s="8"/>
      <c r="B58" s="130" t="s">
        <v>16</v>
      </c>
      <c r="C58" s="72">
        <v>21081100</v>
      </c>
      <c r="D58" s="428">
        <v>744</v>
      </c>
      <c r="E58" s="150">
        <v>744</v>
      </c>
      <c r="F58" s="150">
        <v>88.43</v>
      </c>
      <c r="G58" s="156">
        <v>33.84</v>
      </c>
      <c r="H58" s="150">
        <f t="shared" si="22"/>
        <v>-54.59</v>
      </c>
      <c r="I58" s="344">
        <f t="shared" si="20"/>
        <v>0.38267556259188057</v>
      </c>
      <c r="J58" s="165">
        <f t="shared" si="24"/>
        <v>-710.16</v>
      </c>
      <c r="K58" s="217">
        <f t="shared" si="21"/>
        <v>0.04548387096774194</v>
      </c>
      <c r="L58" s="165"/>
      <c r="M58" s="165"/>
      <c r="N58" s="165"/>
      <c r="O58" s="165">
        <v>705.31</v>
      </c>
      <c r="P58" s="165">
        <f t="shared" si="25"/>
        <v>38.690000000000055</v>
      </c>
      <c r="Q58" s="217">
        <f t="shared" si="26"/>
        <v>1.0548553118486907</v>
      </c>
      <c r="R58" s="165">
        <v>82.08</v>
      </c>
      <c r="S58" s="165">
        <f t="shared" si="5"/>
        <v>-48.239999999999995</v>
      </c>
      <c r="T58" s="217">
        <f t="shared" si="27"/>
        <v>0.412280701754386</v>
      </c>
      <c r="U58" s="157">
        <f>F58-січень!F58</f>
        <v>60.00000000000001</v>
      </c>
      <c r="V58" s="160">
        <f>G58-січень!G58</f>
        <v>5.410000000000004</v>
      </c>
      <c r="W58" s="161">
        <f t="shared" si="23"/>
        <v>-54.59</v>
      </c>
      <c r="X58" s="217">
        <f t="shared" si="28"/>
        <v>0.09016666666666671</v>
      </c>
      <c r="Y58" s="327">
        <f t="shared" si="16"/>
        <v>-0.6425746100943047</v>
      </c>
    </row>
    <row r="59" spans="1:25" s="6" customFormat="1" ht="46.5">
      <c r="A59" s="8"/>
      <c r="B59" s="313" t="s">
        <v>80</v>
      </c>
      <c r="C59" s="72">
        <v>21081500</v>
      </c>
      <c r="D59" s="428">
        <v>115.5</v>
      </c>
      <c r="E59" s="150">
        <v>115.5</v>
      </c>
      <c r="F59" s="150">
        <v>10</v>
      </c>
      <c r="G59" s="156">
        <v>-8.08</v>
      </c>
      <c r="H59" s="150">
        <f t="shared" si="22"/>
        <v>-18.08</v>
      </c>
      <c r="I59" s="344">
        <f t="shared" si="20"/>
        <v>-0.808</v>
      </c>
      <c r="J59" s="165">
        <f t="shared" si="24"/>
        <v>-123.58</v>
      </c>
      <c r="K59" s="217">
        <f t="shared" si="21"/>
        <v>-0.06995670995670995</v>
      </c>
      <c r="L59" s="165"/>
      <c r="M59" s="165"/>
      <c r="N59" s="165"/>
      <c r="O59" s="165">
        <v>114.3</v>
      </c>
      <c r="P59" s="165">
        <f t="shared" si="25"/>
        <v>1.2000000000000028</v>
      </c>
      <c r="Q59" s="217">
        <f t="shared" si="26"/>
        <v>1.010498687664042</v>
      </c>
      <c r="R59" s="165">
        <v>0</v>
      </c>
      <c r="S59" s="165">
        <f t="shared" si="5"/>
        <v>-8.08</v>
      </c>
      <c r="T59" s="217" t="e">
        <f t="shared" si="27"/>
        <v>#DIV/0!</v>
      </c>
      <c r="U59" s="157">
        <f>F59-січень!F59</f>
        <v>10</v>
      </c>
      <c r="V59" s="160">
        <f>G59-січень!G59</f>
        <v>-1.5300000000000002</v>
      </c>
      <c r="W59" s="161">
        <f t="shared" si="23"/>
        <v>-11.530000000000001</v>
      </c>
      <c r="X59" s="217">
        <f t="shared" si="28"/>
        <v>-0.15300000000000002</v>
      </c>
      <c r="Y59" s="327" t="e">
        <f t="shared" si="16"/>
        <v>#DIV/0!</v>
      </c>
    </row>
    <row r="60" spans="1:25" s="6" customFormat="1" ht="30.75">
      <c r="A60" s="8"/>
      <c r="B60" s="313" t="s">
        <v>105</v>
      </c>
      <c r="C60" s="49">
        <v>22010300</v>
      </c>
      <c r="D60" s="429">
        <v>1284</v>
      </c>
      <c r="E60" s="150">
        <v>1284</v>
      </c>
      <c r="F60" s="150">
        <v>184</v>
      </c>
      <c r="G60" s="156">
        <v>135.35</v>
      </c>
      <c r="H60" s="150">
        <f t="shared" si="22"/>
        <v>-48.650000000000006</v>
      </c>
      <c r="I60" s="344">
        <f t="shared" si="20"/>
        <v>0.7355978260869565</v>
      </c>
      <c r="J60" s="165">
        <f t="shared" si="24"/>
        <v>-1148.65</v>
      </c>
      <c r="K60" s="217">
        <f t="shared" si="21"/>
        <v>0.10541277258566978</v>
      </c>
      <c r="L60" s="165"/>
      <c r="M60" s="165"/>
      <c r="N60" s="165"/>
      <c r="O60" s="165">
        <v>1205.14</v>
      </c>
      <c r="P60" s="165">
        <f t="shared" si="25"/>
        <v>78.8599999999999</v>
      </c>
      <c r="Q60" s="217">
        <f t="shared" si="26"/>
        <v>1.0654363808354215</v>
      </c>
      <c r="R60" s="165">
        <v>192.39</v>
      </c>
      <c r="S60" s="165">
        <f t="shared" si="5"/>
        <v>-57.03999999999999</v>
      </c>
      <c r="T60" s="217">
        <f t="shared" si="27"/>
        <v>0.703518893913405</v>
      </c>
      <c r="U60" s="157">
        <f>F60-січень!F60</f>
        <v>94.81</v>
      </c>
      <c r="V60" s="160">
        <f>G60-січень!G60</f>
        <v>46.16</v>
      </c>
      <c r="W60" s="161">
        <f t="shared" si="23"/>
        <v>-48.650000000000006</v>
      </c>
      <c r="X60" s="217">
        <f t="shared" si="28"/>
        <v>0.48686847378968456</v>
      </c>
      <c r="Y60" s="327">
        <f t="shared" si="16"/>
        <v>-0.3619174869220164</v>
      </c>
    </row>
    <row r="61" spans="1:25" s="6" customFormat="1" ht="18" hidden="1">
      <c r="A61" s="8"/>
      <c r="B61" s="130" t="s">
        <v>151</v>
      </c>
      <c r="C61" s="49">
        <v>22010200</v>
      </c>
      <c r="D61" s="415"/>
      <c r="E61" s="150">
        <v>0</v>
      </c>
      <c r="F61" s="150">
        <v>0</v>
      </c>
      <c r="G61" s="156">
        <v>0</v>
      </c>
      <c r="H61" s="150">
        <f t="shared" si="22"/>
        <v>0</v>
      </c>
      <c r="I61" s="344" t="e">
        <f t="shared" si="20"/>
        <v>#DIV/0!</v>
      </c>
      <c r="J61" s="165">
        <f t="shared" si="24"/>
        <v>0</v>
      </c>
      <c r="K61" s="217" t="e">
        <f t="shared" si="21"/>
        <v>#DIV/0!</v>
      </c>
      <c r="L61" s="165"/>
      <c r="M61" s="165"/>
      <c r="N61" s="165"/>
      <c r="O61" s="165">
        <v>23.38</v>
      </c>
      <c r="P61" s="165">
        <f t="shared" si="25"/>
        <v>-23.38</v>
      </c>
      <c r="Q61" s="217">
        <f t="shared" si="26"/>
        <v>0</v>
      </c>
      <c r="R61" s="165">
        <v>0</v>
      </c>
      <c r="S61" s="165">
        <f t="shared" si="5"/>
        <v>0</v>
      </c>
      <c r="T61" s="217"/>
      <c r="U61" s="157">
        <f>F61-січень!F61</f>
        <v>0</v>
      </c>
      <c r="V61" s="160">
        <f>G61-січень!G61</f>
        <v>0</v>
      </c>
      <c r="W61" s="161">
        <f t="shared" si="23"/>
        <v>0</v>
      </c>
      <c r="X61" s="217" t="e">
        <f t="shared" si="28"/>
        <v>#DIV/0!</v>
      </c>
      <c r="Y61" s="327">
        <f t="shared" si="16"/>
        <v>0</v>
      </c>
    </row>
    <row r="62" spans="1:25" s="6" customFormat="1" ht="18">
      <c r="A62" s="8"/>
      <c r="B62" s="319" t="s">
        <v>78</v>
      </c>
      <c r="C62" s="72">
        <v>22012500</v>
      </c>
      <c r="D62" s="428">
        <v>21260</v>
      </c>
      <c r="E62" s="150">
        <v>21260</v>
      </c>
      <c r="F62" s="150">
        <v>3690</v>
      </c>
      <c r="G62" s="156">
        <v>2878.95</v>
      </c>
      <c r="H62" s="150">
        <f t="shared" si="22"/>
        <v>-811.0500000000002</v>
      </c>
      <c r="I62" s="344">
        <f t="shared" si="20"/>
        <v>0.7802032520325203</v>
      </c>
      <c r="J62" s="165">
        <f t="shared" si="24"/>
        <v>-18381.05</v>
      </c>
      <c r="K62" s="217">
        <f t="shared" si="21"/>
        <v>0.1354162746942615</v>
      </c>
      <c r="L62" s="165"/>
      <c r="M62" s="165"/>
      <c r="N62" s="165"/>
      <c r="O62" s="165">
        <v>20110.14</v>
      </c>
      <c r="P62" s="165">
        <f t="shared" si="25"/>
        <v>1149.8600000000006</v>
      </c>
      <c r="Q62" s="217">
        <f t="shared" si="26"/>
        <v>1.0571781200926498</v>
      </c>
      <c r="R62" s="165">
        <v>2143.72</v>
      </c>
      <c r="S62" s="165">
        <f t="shared" si="5"/>
        <v>735.23</v>
      </c>
      <c r="T62" s="217">
        <f t="shared" si="27"/>
        <v>1.3429692310562946</v>
      </c>
      <c r="U62" s="157">
        <f>F62-січень!F62</f>
        <v>1800</v>
      </c>
      <c r="V62" s="160">
        <f>G62-січень!G62</f>
        <v>984.8499999999999</v>
      </c>
      <c r="W62" s="161">
        <f t="shared" si="23"/>
        <v>-815.1500000000001</v>
      </c>
      <c r="X62" s="217">
        <f t="shared" si="28"/>
        <v>0.5471388888888888</v>
      </c>
      <c r="Y62" s="327">
        <f t="shared" si="16"/>
        <v>0.28579111096364485</v>
      </c>
    </row>
    <row r="63" spans="1:25" s="6" customFormat="1" ht="31.5">
      <c r="A63" s="8"/>
      <c r="B63" s="319" t="s">
        <v>99</v>
      </c>
      <c r="C63" s="72">
        <v>22012600</v>
      </c>
      <c r="D63" s="428">
        <v>767</v>
      </c>
      <c r="E63" s="150">
        <v>767</v>
      </c>
      <c r="F63" s="150">
        <v>121</v>
      </c>
      <c r="G63" s="156">
        <v>81.45</v>
      </c>
      <c r="H63" s="150">
        <f t="shared" si="22"/>
        <v>-39.55</v>
      </c>
      <c r="I63" s="344">
        <f t="shared" si="20"/>
        <v>0.6731404958677686</v>
      </c>
      <c r="J63" s="165">
        <f t="shared" si="24"/>
        <v>-685.55</v>
      </c>
      <c r="K63" s="217">
        <f t="shared" si="21"/>
        <v>0.1061929595827901</v>
      </c>
      <c r="L63" s="165"/>
      <c r="M63" s="165"/>
      <c r="N63" s="165"/>
      <c r="O63" s="165">
        <v>710.04</v>
      </c>
      <c r="P63" s="165">
        <f t="shared" si="25"/>
        <v>56.960000000000036</v>
      </c>
      <c r="Q63" s="217">
        <f t="shared" si="26"/>
        <v>1.0802208326291478</v>
      </c>
      <c r="R63" s="165">
        <v>90.44</v>
      </c>
      <c r="S63" s="165">
        <f t="shared" si="5"/>
        <v>-8.989999999999995</v>
      </c>
      <c r="T63" s="217">
        <f t="shared" si="27"/>
        <v>0.9005970809376382</v>
      </c>
      <c r="U63" s="157">
        <f>F63-січень!F63</f>
        <v>64</v>
      </c>
      <c r="V63" s="160">
        <f>G63-січень!G63</f>
        <v>22.080000000000005</v>
      </c>
      <c r="W63" s="161">
        <f t="shared" si="23"/>
        <v>-41.919999999999995</v>
      </c>
      <c r="X63" s="217">
        <f t="shared" si="28"/>
        <v>0.3450000000000001</v>
      </c>
      <c r="Y63" s="327">
        <f t="shared" si="16"/>
        <v>-0.17962375169150957</v>
      </c>
    </row>
    <row r="64" spans="1:25" s="6" customFormat="1" ht="31.5">
      <c r="A64" s="8"/>
      <c r="B64" s="33" t="s">
        <v>106</v>
      </c>
      <c r="C64" s="72">
        <v>22012900</v>
      </c>
      <c r="D64" s="428">
        <v>44</v>
      </c>
      <c r="E64" s="150">
        <v>44</v>
      </c>
      <c r="F64" s="150">
        <v>4</v>
      </c>
      <c r="G64" s="156">
        <v>1.06</v>
      </c>
      <c r="H64" s="150">
        <f t="shared" si="22"/>
        <v>-2.94</v>
      </c>
      <c r="I64" s="344">
        <f t="shared" si="20"/>
        <v>0.265</v>
      </c>
      <c r="J64" s="165">
        <f t="shared" si="24"/>
        <v>-42.94</v>
      </c>
      <c r="K64" s="217">
        <f t="shared" si="21"/>
        <v>0.024090909090909093</v>
      </c>
      <c r="L64" s="165"/>
      <c r="M64" s="165"/>
      <c r="N64" s="165"/>
      <c r="O64" s="165">
        <v>41.44</v>
      </c>
      <c r="P64" s="165">
        <f t="shared" si="25"/>
        <v>2.5600000000000023</v>
      </c>
      <c r="Q64" s="217">
        <f t="shared" si="26"/>
        <v>1.0617760617760619</v>
      </c>
      <c r="R64" s="165">
        <v>0</v>
      </c>
      <c r="S64" s="165">
        <f t="shared" si="5"/>
        <v>1.06</v>
      </c>
      <c r="T64" s="217" t="e">
        <f t="shared" si="27"/>
        <v>#DIV/0!</v>
      </c>
      <c r="U64" s="157">
        <f>F64-січень!F64</f>
        <v>3</v>
      </c>
      <c r="V64" s="160">
        <f>G64-січень!G64</f>
        <v>0</v>
      </c>
      <c r="W64" s="161">
        <f t="shared" si="23"/>
        <v>-3</v>
      </c>
      <c r="X64" s="217">
        <f t="shared" si="28"/>
        <v>0</v>
      </c>
      <c r="Y64" s="327" t="e">
        <f t="shared" si="16"/>
        <v>#DIV/0!</v>
      </c>
    </row>
    <row r="65" spans="1:25" s="6" customFormat="1" ht="30.75">
      <c r="A65" s="8"/>
      <c r="B65" s="130" t="s">
        <v>14</v>
      </c>
      <c r="C65" s="49">
        <v>22080400</v>
      </c>
      <c r="D65" s="429">
        <v>6000</v>
      </c>
      <c r="E65" s="150">
        <v>6000</v>
      </c>
      <c r="F65" s="150">
        <v>1064.14</v>
      </c>
      <c r="G65" s="156">
        <v>1114.23</v>
      </c>
      <c r="H65" s="150">
        <f t="shared" si="22"/>
        <v>50.08999999999992</v>
      </c>
      <c r="I65" s="344">
        <f t="shared" si="20"/>
        <v>1.0470708741331027</v>
      </c>
      <c r="J65" s="165">
        <f t="shared" si="24"/>
        <v>-4885.77</v>
      </c>
      <c r="K65" s="217">
        <f t="shared" si="21"/>
        <v>0.185705</v>
      </c>
      <c r="L65" s="165"/>
      <c r="M65" s="165"/>
      <c r="N65" s="165"/>
      <c r="O65" s="165">
        <v>6545.96</v>
      </c>
      <c r="P65" s="165">
        <f t="shared" si="25"/>
        <v>-545.96</v>
      </c>
      <c r="Q65" s="217">
        <f t="shared" si="26"/>
        <v>0.9165958850955398</v>
      </c>
      <c r="R65" s="165">
        <v>1163.35</v>
      </c>
      <c r="S65" s="165">
        <f t="shared" si="5"/>
        <v>-49.11999999999989</v>
      </c>
      <c r="T65" s="217">
        <f t="shared" si="27"/>
        <v>0.9577771092104699</v>
      </c>
      <c r="U65" s="157">
        <f>F65-січень!F65</f>
        <v>500.0000000000001</v>
      </c>
      <c r="V65" s="160">
        <f>G65-січень!G65</f>
        <v>550.09</v>
      </c>
      <c r="W65" s="161">
        <f t="shared" si="23"/>
        <v>50.08999999999992</v>
      </c>
      <c r="X65" s="217">
        <f t="shared" si="28"/>
        <v>1.1001799999999997</v>
      </c>
      <c r="Y65" s="327">
        <f t="shared" si="16"/>
        <v>0.04118122411493008</v>
      </c>
    </row>
    <row r="66" spans="1:25" s="6" customFormat="1" ht="19.5" customHeight="1">
      <c r="A66" s="8"/>
      <c r="B66" s="130" t="s">
        <v>15</v>
      </c>
      <c r="C66" s="43">
        <v>22090000</v>
      </c>
      <c r="D66" s="412">
        <f>D67+D68+D70</f>
        <v>866</v>
      </c>
      <c r="E66" s="150">
        <f>E67+E68+E70</f>
        <v>866</v>
      </c>
      <c r="F66" s="150">
        <v>120.64</v>
      </c>
      <c r="G66" s="156">
        <v>75.22</v>
      </c>
      <c r="H66" s="150">
        <f t="shared" si="22"/>
        <v>-45.42</v>
      </c>
      <c r="I66" s="344">
        <f t="shared" si="20"/>
        <v>0.6235079575596817</v>
      </c>
      <c r="J66" s="165">
        <f t="shared" si="24"/>
        <v>-790.78</v>
      </c>
      <c r="K66" s="217">
        <f t="shared" si="21"/>
        <v>0.08685912240184758</v>
      </c>
      <c r="L66" s="165"/>
      <c r="M66" s="165"/>
      <c r="N66" s="165"/>
      <c r="O66" s="165">
        <v>896.22</v>
      </c>
      <c r="P66" s="165">
        <f t="shared" si="25"/>
        <v>-30.220000000000027</v>
      </c>
      <c r="Q66" s="217">
        <f t="shared" si="26"/>
        <v>0.9662806007453527</v>
      </c>
      <c r="R66" s="165">
        <v>89.05</v>
      </c>
      <c r="S66" s="165">
        <f t="shared" si="5"/>
        <v>-13.829999999999998</v>
      </c>
      <c r="T66" s="217">
        <f t="shared" si="27"/>
        <v>0.8446939921392477</v>
      </c>
      <c r="U66" s="157">
        <f>F66-січень!F66</f>
        <v>74.4</v>
      </c>
      <c r="V66" s="160">
        <f>G66-січень!G66</f>
        <v>28.979999999999997</v>
      </c>
      <c r="W66" s="161">
        <f t="shared" si="23"/>
        <v>-45.42000000000001</v>
      </c>
      <c r="X66" s="217">
        <f t="shared" si="28"/>
        <v>0.389516129032258</v>
      </c>
      <c r="Y66" s="327">
        <f t="shared" si="16"/>
        <v>-0.12158660860610504</v>
      </c>
    </row>
    <row r="67" spans="1:25" s="6" customFormat="1" ht="15" hidden="1">
      <c r="A67" s="8"/>
      <c r="B67" s="325" t="s">
        <v>97</v>
      </c>
      <c r="C67" s="196">
        <v>22090100</v>
      </c>
      <c r="D67" s="413">
        <v>728.2</v>
      </c>
      <c r="E67" s="103">
        <v>728.2</v>
      </c>
      <c r="F67" s="103">
        <v>97.42</v>
      </c>
      <c r="G67" s="140">
        <v>58.95</v>
      </c>
      <c r="H67" s="103">
        <f t="shared" si="22"/>
        <v>-38.47</v>
      </c>
      <c r="I67" s="340">
        <f t="shared" si="20"/>
        <v>0.6051118866762472</v>
      </c>
      <c r="J67" s="104">
        <f t="shared" si="24"/>
        <v>-669.25</v>
      </c>
      <c r="K67" s="109">
        <f t="shared" si="21"/>
        <v>0.08095303488052732</v>
      </c>
      <c r="L67" s="104"/>
      <c r="M67" s="104"/>
      <c r="N67" s="104"/>
      <c r="O67" s="104">
        <v>760.62</v>
      </c>
      <c r="P67" s="104">
        <f t="shared" si="25"/>
        <v>-32.41999999999996</v>
      </c>
      <c r="Q67" s="109">
        <f t="shared" si="26"/>
        <v>0.957376876758434</v>
      </c>
      <c r="R67" s="104">
        <v>73.71</v>
      </c>
      <c r="S67" s="334">
        <f t="shared" si="5"/>
        <v>-14.759999999999991</v>
      </c>
      <c r="T67" s="335">
        <f t="shared" si="27"/>
        <v>0.7997557997557999</v>
      </c>
      <c r="U67" s="105">
        <f>F67-січень!F67</f>
        <v>63</v>
      </c>
      <c r="V67" s="144">
        <f>G67-січень!G67</f>
        <v>24.53</v>
      </c>
      <c r="W67" s="106">
        <f t="shared" si="23"/>
        <v>-38.47</v>
      </c>
      <c r="X67" s="109">
        <f t="shared" si="28"/>
        <v>0.38936507936507936</v>
      </c>
      <c r="Y67" s="327">
        <f t="shared" si="16"/>
        <v>-0.15762107700263406</v>
      </c>
    </row>
    <row r="68" spans="1:25" s="6" customFormat="1" ht="15" hidden="1">
      <c r="A68" s="8"/>
      <c r="B68" s="325" t="s">
        <v>94</v>
      </c>
      <c r="C68" s="196">
        <v>22090200</v>
      </c>
      <c r="D68" s="413">
        <v>1</v>
      </c>
      <c r="E68" s="103">
        <v>1</v>
      </c>
      <c r="F68" s="103">
        <v>0</v>
      </c>
      <c r="G68" s="140">
        <v>0.04</v>
      </c>
      <c r="H68" s="103">
        <f t="shared" si="22"/>
        <v>0.04</v>
      </c>
      <c r="I68" s="340" t="e">
        <f t="shared" si="20"/>
        <v>#DIV/0!</v>
      </c>
      <c r="J68" s="104">
        <f t="shared" si="24"/>
        <v>-0.96</v>
      </c>
      <c r="K68" s="109">
        <f t="shared" si="21"/>
        <v>0.04</v>
      </c>
      <c r="L68" s="104"/>
      <c r="M68" s="104"/>
      <c r="N68" s="104"/>
      <c r="O68" s="104">
        <v>0.18</v>
      </c>
      <c r="P68" s="104">
        <f t="shared" si="25"/>
        <v>0.8200000000000001</v>
      </c>
      <c r="Q68" s="109">
        <f t="shared" si="26"/>
        <v>5.555555555555555</v>
      </c>
      <c r="R68" s="104">
        <v>0.1</v>
      </c>
      <c r="S68" s="334">
        <f t="shared" si="5"/>
        <v>-0.060000000000000005</v>
      </c>
      <c r="T68" s="335">
        <f t="shared" si="27"/>
        <v>0.39999999999999997</v>
      </c>
      <c r="U68" s="105">
        <f>F68-січень!F68</f>
        <v>0</v>
      </c>
      <c r="V68" s="144">
        <f>G68-січень!G68</f>
        <v>0.04</v>
      </c>
      <c r="W68" s="106">
        <f t="shared" si="23"/>
        <v>0.04</v>
      </c>
      <c r="X68" s="109"/>
      <c r="Y68" s="327">
        <f t="shared" si="16"/>
        <v>-5.155555555555555</v>
      </c>
    </row>
    <row r="69" spans="1:25" s="6" customFormat="1" ht="15" hidden="1">
      <c r="A69" s="8"/>
      <c r="B69" s="325" t="s">
        <v>95</v>
      </c>
      <c r="C69" s="123">
        <v>22090300</v>
      </c>
      <c r="D69" s="411"/>
      <c r="E69" s="103">
        <v>0</v>
      </c>
      <c r="F69" s="103">
        <v>0</v>
      </c>
      <c r="G69" s="140">
        <v>0</v>
      </c>
      <c r="H69" s="103">
        <f t="shared" si="22"/>
        <v>0</v>
      </c>
      <c r="I69" s="340" t="e">
        <f t="shared" si="20"/>
        <v>#DIV/0!</v>
      </c>
      <c r="J69" s="104">
        <f t="shared" si="24"/>
        <v>0</v>
      </c>
      <c r="K69" s="109" t="e">
        <f t="shared" si="21"/>
        <v>#DIV/0!</v>
      </c>
      <c r="L69" s="104"/>
      <c r="M69" s="104"/>
      <c r="N69" s="104"/>
      <c r="O69" s="104">
        <v>0</v>
      </c>
      <c r="P69" s="104">
        <f t="shared" si="25"/>
        <v>0</v>
      </c>
      <c r="Q69" s="109" t="e">
        <f t="shared" si="26"/>
        <v>#DIV/0!</v>
      </c>
      <c r="R69" s="104">
        <f>O69</f>
        <v>0</v>
      </c>
      <c r="S69" s="334">
        <f t="shared" si="5"/>
        <v>0</v>
      </c>
      <c r="T69" s="335" t="e">
        <f t="shared" si="27"/>
        <v>#DIV/0!</v>
      </c>
      <c r="U69" s="105">
        <f>F69-січень!F69</f>
        <v>0</v>
      </c>
      <c r="V69" s="144">
        <f>G69-січень!G69</f>
        <v>0</v>
      </c>
      <c r="W69" s="106">
        <f t="shared" si="23"/>
        <v>0</v>
      </c>
      <c r="X69" s="109"/>
      <c r="Y69" s="327" t="e">
        <f t="shared" si="16"/>
        <v>#DIV/0!</v>
      </c>
    </row>
    <row r="70" spans="1:25" s="6" customFormat="1" ht="15" hidden="1">
      <c r="A70" s="8"/>
      <c r="B70" s="325" t="s">
        <v>96</v>
      </c>
      <c r="C70" s="196">
        <v>22090400</v>
      </c>
      <c r="D70" s="413">
        <v>136.8</v>
      </c>
      <c r="E70" s="103">
        <v>136.8</v>
      </c>
      <c r="F70" s="103">
        <v>23.22</v>
      </c>
      <c r="G70" s="140">
        <v>16.24</v>
      </c>
      <c r="H70" s="103">
        <f t="shared" si="22"/>
        <v>-6.98</v>
      </c>
      <c r="I70" s="340">
        <f t="shared" si="20"/>
        <v>0.6993970714900947</v>
      </c>
      <c r="J70" s="104">
        <f t="shared" si="24"/>
        <v>-120.56000000000002</v>
      </c>
      <c r="K70" s="109">
        <f t="shared" si="21"/>
        <v>0.11871345029239765</v>
      </c>
      <c r="L70" s="104"/>
      <c r="M70" s="104"/>
      <c r="N70" s="104"/>
      <c r="O70" s="104">
        <v>135.42</v>
      </c>
      <c r="P70" s="104">
        <f t="shared" si="25"/>
        <v>1.3800000000000239</v>
      </c>
      <c r="Q70" s="109">
        <f t="shared" si="26"/>
        <v>1.01019051838724</v>
      </c>
      <c r="R70" s="104">
        <v>15.24</v>
      </c>
      <c r="S70" s="334">
        <f t="shared" si="5"/>
        <v>0.9999999999999982</v>
      </c>
      <c r="T70" s="335">
        <f t="shared" si="27"/>
        <v>1.0656167979002624</v>
      </c>
      <c r="U70" s="105">
        <f>F70-січень!F70</f>
        <v>11.399999999999999</v>
      </c>
      <c r="V70" s="144">
        <f>G70-січень!G70</f>
        <v>4.419999999999998</v>
      </c>
      <c r="W70" s="106">
        <f t="shared" si="23"/>
        <v>-6.98</v>
      </c>
      <c r="X70" s="109">
        <f t="shared" si="28"/>
        <v>0.3877192982456139</v>
      </c>
      <c r="Y70" s="327">
        <f t="shared" si="16"/>
        <v>0.05542627951302248</v>
      </c>
    </row>
    <row r="71" spans="1:25" s="6" customFormat="1" ht="46.5">
      <c r="A71" s="8"/>
      <c r="B71" s="130" t="s">
        <v>17</v>
      </c>
      <c r="C71" s="11" t="s">
        <v>18</v>
      </c>
      <c r="D71" s="434">
        <v>3</v>
      </c>
      <c r="E71" s="150">
        <v>3</v>
      </c>
      <c r="F71" s="150">
        <v>1.5</v>
      </c>
      <c r="G71" s="156">
        <v>0</v>
      </c>
      <c r="H71" s="150">
        <f t="shared" si="22"/>
        <v>-1.5</v>
      </c>
      <c r="I71" s="344">
        <f t="shared" si="20"/>
        <v>0</v>
      </c>
      <c r="J71" s="165">
        <f t="shared" si="24"/>
        <v>-3</v>
      </c>
      <c r="K71" s="217">
        <f t="shared" si="21"/>
        <v>0</v>
      </c>
      <c r="L71" s="165"/>
      <c r="M71" s="165"/>
      <c r="N71" s="165"/>
      <c r="O71" s="165">
        <v>2.04</v>
      </c>
      <c r="P71" s="165">
        <f t="shared" si="25"/>
        <v>0.96</v>
      </c>
      <c r="Q71" s="217">
        <f t="shared" si="26"/>
        <v>1.4705882352941175</v>
      </c>
      <c r="R71" s="165">
        <v>1.67</v>
      </c>
      <c r="S71" s="165">
        <f t="shared" si="5"/>
        <v>-1.67</v>
      </c>
      <c r="T71" s="217">
        <f t="shared" si="27"/>
        <v>0</v>
      </c>
      <c r="U71" s="157">
        <f>F71-січень!F71</f>
        <v>1.5</v>
      </c>
      <c r="V71" s="160">
        <f>G71-січень!G71</f>
        <v>0</v>
      </c>
      <c r="W71" s="161">
        <f t="shared" si="23"/>
        <v>-1.5</v>
      </c>
      <c r="X71" s="217"/>
      <c r="Y71" s="327">
        <f t="shared" si="16"/>
        <v>-1.4705882352941175</v>
      </c>
    </row>
    <row r="72" spans="1:25" s="6" customFormat="1" ht="15.75" customHeight="1">
      <c r="A72" s="8"/>
      <c r="B72" s="131" t="s">
        <v>13</v>
      </c>
      <c r="C72" s="11" t="s">
        <v>19</v>
      </c>
      <c r="D72" s="434">
        <v>8170</v>
      </c>
      <c r="E72" s="150">
        <v>8170</v>
      </c>
      <c r="F72" s="150">
        <v>1248.65</v>
      </c>
      <c r="G72" s="156">
        <v>794.8</v>
      </c>
      <c r="H72" s="150">
        <f t="shared" si="22"/>
        <v>-453.85000000000014</v>
      </c>
      <c r="I72" s="344">
        <f t="shared" si="20"/>
        <v>0.6365274496456171</v>
      </c>
      <c r="J72" s="165">
        <f t="shared" si="24"/>
        <v>-7375.2</v>
      </c>
      <c r="K72" s="217">
        <f t="shared" si="21"/>
        <v>0.09728274173806609</v>
      </c>
      <c r="L72" s="165"/>
      <c r="M72" s="165"/>
      <c r="N72" s="165"/>
      <c r="O72" s="165">
        <v>8086.92</v>
      </c>
      <c r="P72" s="165">
        <f t="shared" si="25"/>
        <v>83.07999999999993</v>
      </c>
      <c r="Q72" s="217">
        <f t="shared" si="26"/>
        <v>1.0102733797292418</v>
      </c>
      <c r="R72" s="165">
        <v>2711.43</v>
      </c>
      <c r="S72" s="165">
        <f t="shared" si="5"/>
        <v>-1916.6299999999999</v>
      </c>
      <c r="T72" s="217">
        <f t="shared" si="27"/>
        <v>0.2931294556746809</v>
      </c>
      <c r="U72" s="157">
        <f>F72-січень!F72</f>
        <v>680.0000000000001</v>
      </c>
      <c r="V72" s="160">
        <f>G72-січень!G72</f>
        <v>226.14999999999998</v>
      </c>
      <c r="W72" s="161">
        <f t="shared" si="23"/>
        <v>-453.85000000000014</v>
      </c>
      <c r="X72" s="217">
        <f t="shared" si="28"/>
        <v>0.3325735294117646</v>
      </c>
      <c r="Y72" s="327">
        <f t="shared" si="16"/>
        <v>-0.717143924054561</v>
      </c>
    </row>
    <row r="73" spans="1:25" s="6" customFormat="1" ht="18" hidden="1">
      <c r="A73" s="8"/>
      <c r="B73" s="12" t="s">
        <v>22</v>
      </c>
      <c r="C73" s="61" t="s">
        <v>23</v>
      </c>
      <c r="D73" s="416"/>
      <c r="E73" s="31">
        <v>0</v>
      </c>
      <c r="F73" s="31">
        <v>0</v>
      </c>
      <c r="G73" s="139">
        <v>0</v>
      </c>
      <c r="H73" s="150">
        <f t="shared" si="22"/>
        <v>0</v>
      </c>
      <c r="I73" s="344" t="e">
        <f>G73/F73*100</f>
        <v>#DIV/0!</v>
      </c>
      <c r="J73" s="165">
        <f t="shared" si="24"/>
        <v>0</v>
      </c>
      <c r="K73" s="217" t="e">
        <f>G73/E73*100</f>
        <v>#DIV/0!</v>
      </c>
      <c r="L73" s="165"/>
      <c r="M73" s="165"/>
      <c r="N73" s="165"/>
      <c r="O73" s="165"/>
      <c r="P73" s="165"/>
      <c r="Q73" s="217"/>
      <c r="R73" s="165">
        <v>0</v>
      </c>
      <c r="S73" s="165">
        <f t="shared" si="5"/>
        <v>0</v>
      </c>
      <c r="T73" s="217" t="e">
        <f t="shared" si="27"/>
        <v>#DIV/0!</v>
      </c>
      <c r="U73" s="157">
        <f>F73-січень!F73</f>
        <v>0</v>
      </c>
      <c r="V73" s="160">
        <f>G73-січень!G73</f>
        <v>0</v>
      </c>
      <c r="W73" s="161">
        <f t="shared" si="23"/>
        <v>0</v>
      </c>
      <c r="X73" s="217" t="e">
        <f t="shared" si="28"/>
        <v>#DIV/0!</v>
      </c>
      <c r="Y73" s="327" t="e">
        <f t="shared" si="16"/>
        <v>#DIV/0!</v>
      </c>
    </row>
    <row r="74" spans="1:25" s="6" customFormat="1" ht="30.75" hidden="1">
      <c r="A74" s="8"/>
      <c r="B74" s="50" t="s">
        <v>42</v>
      </c>
      <c r="C74" s="61"/>
      <c r="D74" s="416"/>
      <c r="E74" s="103"/>
      <c r="F74" s="103"/>
      <c r="G74" s="200">
        <v>0</v>
      </c>
      <c r="H74" s="244"/>
      <c r="I74" s="344"/>
      <c r="J74" s="245"/>
      <c r="K74" s="271"/>
      <c r="L74" s="245"/>
      <c r="M74" s="245"/>
      <c r="N74" s="245"/>
      <c r="O74" s="245">
        <v>1411.18</v>
      </c>
      <c r="P74" s="165"/>
      <c r="Q74" s="217"/>
      <c r="R74" s="166">
        <f>O74</f>
        <v>1411.18</v>
      </c>
      <c r="S74" s="245"/>
      <c r="T74" s="271">
        <f t="shared" si="27"/>
        <v>0</v>
      </c>
      <c r="U74" s="157">
        <f>F74-січень!F74</f>
        <v>0</v>
      </c>
      <c r="V74" s="160">
        <f>G74-січень!G74</f>
        <v>0</v>
      </c>
      <c r="W74" s="166">
        <f t="shared" si="23"/>
        <v>0</v>
      </c>
      <c r="X74" s="217"/>
      <c r="Y74" s="327"/>
    </row>
    <row r="75" spans="1:25" s="6" customFormat="1" ht="18" hidden="1">
      <c r="A75" s="8"/>
      <c r="B75" s="131" t="s">
        <v>20</v>
      </c>
      <c r="C75" s="128" t="s">
        <v>21</v>
      </c>
      <c r="D75" s="417"/>
      <c r="E75" s="34">
        <v>0</v>
      </c>
      <c r="F75" s="34">
        <v>0</v>
      </c>
      <c r="G75" s="141">
        <v>0</v>
      </c>
      <c r="H75" s="150">
        <f t="shared" si="22"/>
        <v>0</v>
      </c>
      <c r="I75" s="344" t="e">
        <f>G75/F75*100</f>
        <v>#DIV/0!</v>
      </c>
      <c r="J75" s="165">
        <f t="shared" si="24"/>
        <v>0</v>
      </c>
      <c r="K75" s="217" t="e">
        <f>G75/E75*100</f>
        <v>#DIV/0!</v>
      </c>
      <c r="L75" s="165"/>
      <c r="M75" s="165"/>
      <c r="N75" s="165"/>
      <c r="O75" s="165"/>
      <c r="P75" s="165"/>
      <c r="Q75" s="217"/>
      <c r="R75" s="166">
        <v>0</v>
      </c>
      <c r="S75" s="165">
        <f t="shared" si="5"/>
        <v>0</v>
      </c>
      <c r="T75" s="217" t="e">
        <f t="shared" si="27"/>
        <v>#DIV/0!</v>
      </c>
      <c r="U75" s="157">
        <f>F75-січень!F75</f>
        <v>0</v>
      </c>
      <c r="V75" s="160">
        <f>G75-січень!G75</f>
        <v>0</v>
      </c>
      <c r="W75" s="161">
        <f t="shared" si="23"/>
        <v>0</v>
      </c>
      <c r="X75" s="217" t="e">
        <f t="shared" si="28"/>
        <v>#DIV/0!</v>
      </c>
      <c r="Y75" s="327" t="e">
        <f t="shared" si="16"/>
        <v>#DIV/0!</v>
      </c>
    </row>
    <row r="76" spans="1:25" s="6" customFormat="1" ht="44.25" customHeight="1">
      <c r="A76" s="8"/>
      <c r="B76" s="131" t="s">
        <v>43</v>
      </c>
      <c r="C76" s="43">
        <v>24061900</v>
      </c>
      <c r="D76" s="412">
        <v>174.4</v>
      </c>
      <c r="E76" s="150">
        <v>174.4</v>
      </c>
      <c r="F76" s="150">
        <v>0</v>
      </c>
      <c r="G76" s="156">
        <v>0</v>
      </c>
      <c r="H76" s="150">
        <f t="shared" si="22"/>
        <v>0</v>
      </c>
      <c r="I76" s="344" t="e">
        <f>G76/F76</f>
        <v>#DIV/0!</v>
      </c>
      <c r="J76" s="165">
        <f t="shared" si="24"/>
        <v>-174.4</v>
      </c>
      <c r="K76" s="217">
        <f>G76/E76</f>
        <v>0</v>
      </c>
      <c r="L76" s="165"/>
      <c r="M76" s="165"/>
      <c r="N76" s="165"/>
      <c r="O76" s="165">
        <v>142.18</v>
      </c>
      <c r="P76" s="165">
        <f>E76-O76</f>
        <v>32.22</v>
      </c>
      <c r="Q76" s="217">
        <f>E76/O76</f>
        <v>1.2266141510761006</v>
      </c>
      <c r="R76" s="165">
        <v>32.89</v>
      </c>
      <c r="S76" s="165">
        <f t="shared" si="5"/>
        <v>-32.89</v>
      </c>
      <c r="T76" s="217">
        <f t="shared" si="27"/>
        <v>0</v>
      </c>
      <c r="U76" s="157">
        <f>F76-січень!F76</f>
        <v>0</v>
      </c>
      <c r="V76" s="160">
        <f>G76-січень!G76</f>
        <v>0</v>
      </c>
      <c r="W76" s="161">
        <f t="shared" si="23"/>
        <v>0</v>
      </c>
      <c r="X76" s="217" t="e">
        <f t="shared" si="28"/>
        <v>#DIV/0!</v>
      </c>
      <c r="Y76" s="327">
        <f t="shared" si="16"/>
        <v>-1.2266141510761006</v>
      </c>
    </row>
    <row r="77" spans="1:25" s="6" customFormat="1" ht="27.75" customHeight="1">
      <c r="A77" s="8"/>
      <c r="B77" s="131" t="s">
        <v>44</v>
      </c>
      <c r="C77" s="43">
        <v>31010200</v>
      </c>
      <c r="D77" s="412">
        <v>35</v>
      </c>
      <c r="E77" s="150">
        <v>35</v>
      </c>
      <c r="F77" s="150">
        <v>6.67</v>
      </c>
      <c r="G77" s="156">
        <v>4.74</v>
      </c>
      <c r="H77" s="150">
        <f t="shared" si="22"/>
        <v>-1.9299999999999997</v>
      </c>
      <c r="I77" s="344">
        <f>G77/F77</f>
        <v>0.7106446776611695</v>
      </c>
      <c r="J77" s="165">
        <f t="shared" si="24"/>
        <v>-30.259999999999998</v>
      </c>
      <c r="K77" s="217">
        <f>G77/E77</f>
        <v>0.13542857142857143</v>
      </c>
      <c r="L77" s="165"/>
      <c r="M77" s="165"/>
      <c r="N77" s="165"/>
      <c r="O77" s="165">
        <v>34.22</v>
      </c>
      <c r="P77" s="165">
        <f>E77-O77</f>
        <v>0.7800000000000011</v>
      </c>
      <c r="Q77" s="217">
        <f>E77/O77</f>
        <v>1.0227936879018118</v>
      </c>
      <c r="R77" s="165">
        <v>8.6</v>
      </c>
      <c r="S77" s="165">
        <f t="shared" si="5"/>
        <v>-3.8599999999999994</v>
      </c>
      <c r="T77" s="217">
        <f t="shared" si="27"/>
        <v>0.5511627906976745</v>
      </c>
      <c r="U77" s="157">
        <f>F77-січень!F77</f>
        <v>2.9</v>
      </c>
      <c r="V77" s="160">
        <f>G77-січень!G77</f>
        <v>0.9700000000000002</v>
      </c>
      <c r="W77" s="161">
        <f t="shared" si="23"/>
        <v>-1.9299999999999997</v>
      </c>
      <c r="X77" s="217">
        <f t="shared" si="28"/>
        <v>0.3344827586206897</v>
      </c>
      <c r="Y77" s="327">
        <f t="shared" si="16"/>
        <v>-0.4716308972041373</v>
      </c>
    </row>
    <row r="78" spans="1:25" s="6" customFormat="1" ht="30.75">
      <c r="A78" s="8"/>
      <c r="B78" s="131" t="s">
        <v>57</v>
      </c>
      <c r="C78" s="43">
        <v>31020000</v>
      </c>
      <c r="D78" s="408"/>
      <c r="E78" s="150">
        <v>0</v>
      </c>
      <c r="F78" s="150">
        <f>E78</f>
        <v>0</v>
      </c>
      <c r="G78" s="156">
        <v>0.11</v>
      </c>
      <c r="H78" s="150">
        <f t="shared" si="22"/>
        <v>0.11</v>
      </c>
      <c r="I78" s="344" t="e">
        <f>G78/F78</f>
        <v>#DIV/0!</v>
      </c>
      <c r="J78" s="165">
        <f t="shared" si="24"/>
        <v>0.11</v>
      </c>
      <c r="K78" s="217"/>
      <c r="L78" s="165"/>
      <c r="M78" s="165"/>
      <c r="N78" s="165"/>
      <c r="O78" s="165">
        <v>-4.86</v>
      </c>
      <c r="P78" s="165">
        <f>E78-O78</f>
        <v>4.86</v>
      </c>
      <c r="Q78" s="217">
        <f>E78/O78</f>
        <v>0</v>
      </c>
      <c r="R78" s="165">
        <v>-5.33</v>
      </c>
      <c r="S78" s="165">
        <f t="shared" si="5"/>
        <v>5.44</v>
      </c>
      <c r="T78" s="217">
        <f t="shared" si="27"/>
        <v>-0.020637898686679174</v>
      </c>
      <c r="U78" s="157">
        <f>F78-січень!F78</f>
        <v>0</v>
      </c>
      <c r="V78" s="160">
        <f>G78-січень!G78</f>
        <v>0.11</v>
      </c>
      <c r="W78" s="161">
        <f t="shared" si="23"/>
        <v>0.11</v>
      </c>
      <c r="X78" s="217"/>
      <c r="Y78" s="327">
        <f t="shared" si="16"/>
        <v>-0.020637898686679174</v>
      </c>
    </row>
    <row r="79" spans="1:25" s="6" customFormat="1" ht="17.25">
      <c r="A79" s="9"/>
      <c r="B79" s="14" t="s">
        <v>148</v>
      </c>
      <c r="C79" s="62"/>
      <c r="D79" s="15">
        <f>D8+D53+D77+D78</f>
        <v>1627917.7</v>
      </c>
      <c r="E79" s="151">
        <f>E8+E53+E77+E78</f>
        <v>1627917.7</v>
      </c>
      <c r="F79" s="151">
        <f>F8+F53+F77+F78</f>
        <v>236403.65700000004</v>
      </c>
      <c r="G79" s="151">
        <f>G8+G53+G77+G78</f>
        <v>162203.04</v>
      </c>
      <c r="H79" s="151">
        <f>G79-F79</f>
        <v>-74200.61700000003</v>
      </c>
      <c r="I79" s="341">
        <f>G79/F79</f>
        <v>0.6861274569876894</v>
      </c>
      <c r="J79" s="153">
        <f>G79-E79</f>
        <v>-1465714.66</v>
      </c>
      <c r="K79" s="218">
        <f>G79/E79</f>
        <v>0.09963835395364275</v>
      </c>
      <c r="L79" s="153"/>
      <c r="M79" s="153"/>
      <c r="N79" s="153"/>
      <c r="O79" s="153">
        <v>1398996.46</v>
      </c>
      <c r="P79" s="153">
        <f>E79-O79</f>
        <v>228921.24</v>
      </c>
      <c r="Q79" s="218">
        <f>E79/O79</f>
        <v>1.163632465517461</v>
      </c>
      <c r="R79" s="151">
        <v>203526.37</v>
      </c>
      <c r="S79" s="153">
        <f>G79-R79</f>
        <v>-41323.32999999999</v>
      </c>
      <c r="T79" s="218">
        <f>G79/R79</f>
        <v>0.7969632632862268</v>
      </c>
      <c r="U79" s="151">
        <f>U8+U53+U77+U78</f>
        <v>121125.10800000001</v>
      </c>
      <c r="V79" s="151">
        <f>V8+V53+V77+V78</f>
        <v>46924.50000000001</v>
      </c>
      <c r="W79" s="193">
        <f>V79-U79</f>
        <v>-74200.60800000001</v>
      </c>
      <c r="X79" s="218">
        <f>V79/U79</f>
        <v>0.3874052273290853</v>
      </c>
      <c r="Y79" s="327">
        <f t="shared" si="16"/>
        <v>-0.3666692022312342</v>
      </c>
    </row>
    <row r="80" spans="1:25" s="48" customFormat="1" ht="17.25" hidden="1">
      <c r="A80" s="45"/>
      <c r="B80" s="55"/>
      <c r="C80" s="63"/>
      <c r="D80" s="418"/>
      <c r="E80" s="46"/>
      <c r="F80" s="46"/>
      <c r="G80" s="82"/>
      <c r="H80" s="77"/>
      <c r="I80" s="345"/>
      <c r="J80" s="54"/>
      <c r="K80" s="96"/>
      <c r="L80" s="35"/>
      <c r="M80" s="35"/>
      <c r="N80" s="35"/>
      <c r="O80" s="35"/>
      <c r="P80" s="35"/>
      <c r="Q80" s="96"/>
      <c r="R80" s="35"/>
      <c r="S80" s="35"/>
      <c r="T80" s="35"/>
      <c r="U80" s="47"/>
      <c r="V80" s="46"/>
      <c r="W80" s="79"/>
      <c r="X80" s="96"/>
      <c r="Y80" s="327">
        <f t="shared" si="16"/>
        <v>0</v>
      </c>
    </row>
    <row r="81" spans="1:25" s="48" customFormat="1" ht="17.25" hidden="1">
      <c r="A81" s="45"/>
      <c r="B81" s="56"/>
      <c r="C81" s="63"/>
      <c r="D81" s="418"/>
      <c r="E81" s="57"/>
      <c r="F81" s="46"/>
      <c r="G81" s="82"/>
      <c r="H81" s="40"/>
      <c r="I81" s="345"/>
      <c r="J81" s="58"/>
      <c r="K81" s="96"/>
      <c r="L81" s="35"/>
      <c r="M81" s="35"/>
      <c r="N81" s="35"/>
      <c r="O81" s="35"/>
      <c r="P81" s="35"/>
      <c r="Q81" s="96"/>
      <c r="R81" s="35"/>
      <c r="S81" s="35"/>
      <c r="T81" s="35"/>
      <c r="U81" s="30"/>
      <c r="V81" s="46"/>
      <c r="W81" s="59"/>
      <c r="X81" s="96"/>
      <c r="Y81" s="327">
        <f t="shared" si="16"/>
        <v>0</v>
      </c>
    </row>
    <row r="82" spans="1:25" s="48" customFormat="1" ht="17.25" hidden="1">
      <c r="A82" s="45"/>
      <c r="B82" s="56"/>
      <c r="C82" s="63"/>
      <c r="D82" s="418"/>
      <c r="E82" s="57"/>
      <c r="F82" s="34"/>
      <c r="G82" s="111"/>
      <c r="H82" s="40"/>
      <c r="I82" s="345"/>
      <c r="J82" s="58"/>
      <c r="K82" s="96"/>
      <c r="L82" s="35"/>
      <c r="M82" s="35"/>
      <c r="N82" s="35"/>
      <c r="O82" s="35"/>
      <c r="P82" s="35"/>
      <c r="Q82" s="96"/>
      <c r="R82" s="35"/>
      <c r="S82" s="35"/>
      <c r="T82" s="35"/>
      <c r="U82" s="30"/>
      <c r="V82" s="57"/>
      <c r="W82" s="79"/>
      <c r="X82" s="96"/>
      <c r="Y82" s="327">
        <f t="shared" si="16"/>
        <v>0</v>
      </c>
    </row>
    <row r="83" spans="2:25" ht="15">
      <c r="B83" s="22" t="s">
        <v>108</v>
      </c>
      <c r="C83" s="64"/>
      <c r="D83" s="419"/>
      <c r="E83" s="24"/>
      <c r="F83" s="24"/>
      <c r="G83" s="142"/>
      <c r="H83" s="34"/>
      <c r="I83" s="346"/>
      <c r="J83" s="38"/>
      <c r="K83" s="97"/>
      <c r="L83" s="38"/>
      <c r="M83" s="38"/>
      <c r="N83" s="38"/>
      <c r="O83" s="38"/>
      <c r="P83" s="38"/>
      <c r="Q83" s="97"/>
      <c r="R83" s="38"/>
      <c r="S83" s="38"/>
      <c r="T83" s="38"/>
      <c r="U83" s="31"/>
      <c r="V83" s="146"/>
      <c r="W83" s="36"/>
      <c r="X83" s="97"/>
      <c r="Y83" s="327">
        <f t="shared" si="16"/>
        <v>0</v>
      </c>
    </row>
    <row r="84" spans="2:25" ht="25.5" customHeight="1" hidden="1">
      <c r="B84" s="232" t="s">
        <v>100</v>
      </c>
      <c r="C84" s="135">
        <v>12020000</v>
      </c>
      <c r="D84" s="420"/>
      <c r="E84" s="179">
        <v>0</v>
      </c>
      <c r="F84" s="179"/>
      <c r="G84" s="180">
        <v>0.01</v>
      </c>
      <c r="H84" s="162"/>
      <c r="I84" s="344"/>
      <c r="J84" s="167"/>
      <c r="K84" s="208"/>
      <c r="L84" s="167"/>
      <c r="M84" s="167"/>
      <c r="N84" s="167"/>
      <c r="O84" s="167"/>
      <c r="P84" s="167"/>
      <c r="Q84" s="208"/>
      <c r="R84" s="167">
        <f>O84</f>
        <v>0</v>
      </c>
      <c r="S84" s="167">
        <f>G84-R84</f>
        <v>0.01</v>
      </c>
      <c r="T84" s="208" t="e">
        <f>G84/R84</f>
        <v>#DIV/0!</v>
      </c>
      <c r="U84" s="162">
        <f>F84-січень!F84</f>
        <v>0</v>
      </c>
      <c r="V84" s="160">
        <f>G84-січень!G84</f>
        <v>0</v>
      </c>
      <c r="W84" s="167"/>
      <c r="X84" s="208"/>
      <c r="Y84" s="327" t="e">
        <f t="shared" si="16"/>
        <v>#DIV/0!</v>
      </c>
    </row>
    <row r="85" spans="2:25" ht="31.5" hidden="1">
      <c r="B85" s="23" t="s">
        <v>62</v>
      </c>
      <c r="C85" s="73">
        <v>18041500</v>
      </c>
      <c r="D85" s="421"/>
      <c r="E85" s="179">
        <v>0</v>
      </c>
      <c r="F85" s="179">
        <v>0</v>
      </c>
      <c r="G85" s="180">
        <v>0</v>
      </c>
      <c r="H85" s="162">
        <f>G85-F85</f>
        <v>0</v>
      </c>
      <c r="I85" s="344"/>
      <c r="J85" s="167">
        <f>G85-E85</f>
        <v>0</v>
      </c>
      <c r="K85" s="208"/>
      <c r="L85" s="167"/>
      <c r="M85" s="167"/>
      <c r="N85" s="167"/>
      <c r="O85" s="167">
        <v>-2.64</v>
      </c>
      <c r="P85" s="167">
        <f>E85-O85</f>
        <v>2.64</v>
      </c>
      <c r="Q85" s="208">
        <f>E85/O85</f>
        <v>0</v>
      </c>
      <c r="R85" s="167">
        <v>0</v>
      </c>
      <c r="S85" s="167">
        <f>G85-R85</f>
        <v>0</v>
      </c>
      <c r="T85" s="208" t="e">
        <f>G85/R85</f>
        <v>#DIV/0!</v>
      </c>
      <c r="U85" s="162">
        <f>F85-січень!F85</f>
        <v>0</v>
      </c>
      <c r="V85" s="160">
        <f>G85-січень!G85</f>
        <v>0</v>
      </c>
      <c r="W85" s="167">
        <f>V85-U85</f>
        <v>0</v>
      </c>
      <c r="X85" s="208"/>
      <c r="Y85" s="327" t="e">
        <f t="shared" si="16"/>
        <v>#DIV/0!</v>
      </c>
    </row>
    <row r="86" spans="2:25" ht="17.25" hidden="1">
      <c r="B86" s="28" t="s">
        <v>45</v>
      </c>
      <c r="C86" s="74"/>
      <c r="D86" s="182">
        <f>D85</f>
        <v>0</v>
      </c>
      <c r="E86" s="182">
        <f>E85</f>
        <v>0</v>
      </c>
      <c r="F86" s="182">
        <f>F85</f>
        <v>0</v>
      </c>
      <c r="G86" s="183">
        <f>SUM(G84:G85)</f>
        <v>0.01</v>
      </c>
      <c r="H86" s="184">
        <f>G86-F86</f>
        <v>0.01</v>
      </c>
      <c r="I86" s="347"/>
      <c r="J86" s="186">
        <f>G86-E86</f>
        <v>0.01</v>
      </c>
      <c r="K86" s="213"/>
      <c r="L86" s="186"/>
      <c r="M86" s="186"/>
      <c r="N86" s="186"/>
      <c r="O86" s="186">
        <v>-2.64</v>
      </c>
      <c r="P86" s="186">
        <f>E86-O86</f>
        <v>2.64</v>
      </c>
      <c r="Q86" s="213">
        <f>E86/O86</f>
        <v>0</v>
      </c>
      <c r="R86" s="186">
        <v>0</v>
      </c>
      <c r="S86" s="186">
        <f aca="true" t="shared" si="29" ref="S86:S98">G86-R86</f>
        <v>0.01</v>
      </c>
      <c r="T86" s="213" t="e">
        <f aca="true" t="shared" si="30" ref="T86:T101">G86/R86</f>
        <v>#DIV/0!</v>
      </c>
      <c r="U86" s="184">
        <f>F86-січень!F86</f>
        <v>0</v>
      </c>
      <c r="V86" s="263">
        <f>G86-січень!G86</f>
        <v>0</v>
      </c>
      <c r="W86" s="186">
        <f>V86-U86</f>
        <v>0</v>
      </c>
      <c r="X86" s="213"/>
      <c r="Y86" s="327" t="e">
        <f t="shared" si="16"/>
        <v>#DIV/0!</v>
      </c>
    </row>
    <row r="87" spans="2:25" ht="45.75" hidden="1">
      <c r="B87" s="28" t="s">
        <v>37</v>
      </c>
      <c r="C87" s="135">
        <v>21110000</v>
      </c>
      <c r="D87" s="420">
        <v>0</v>
      </c>
      <c r="E87" s="182">
        <v>0</v>
      </c>
      <c r="F87" s="182">
        <v>0</v>
      </c>
      <c r="G87" s="183">
        <v>0</v>
      </c>
      <c r="H87" s="184">
        <f aca="true" t="shared" si="31" ref="H87:H98">G87-F87</f>
        <v>0</v>
      </c>
      <c r="I87" s="347"/>
      <c r="J87" s="186">
        <f>G87-E87</f>
        <v>0</v>
      </c>
      <c r="K87" s="213"/>
      <c r="L87" s="186"/>
      <c r="M87" s="186"/>
      <c r="N87" s="186"/>
      <c r="O87" s="186">
        <v>35.57</v>
      </c>
      <c r="P87" s="186">
        <f aca="true" t="shared" si="32" ref="P87:P98">E87-O87</f>
        <v>-35.57</v>
      </c>
      <c r="Q87" s="213">
        <f aca="true" t="shared" si="33" ref="Q87:Q98">E87/O87</f>
        <v>0</v>
      </c>
      <c r="R87" s="186">
        <v>11.81</v>
      </c>
      <c r="S87" s="186">
        <f t="shared" si="29"/>
        <v>-11.81</v>
      </c>
      <c r="T87" s="208"/>
      <c r="U87" s="184">
        <f>F87-січень!F87</f>
        <v>0</v>
      </c>
      <c r="V87" s="263">
        <f>G87-січень!G87</f>
        <v>0</v>
      </c>
      <c r="W87" s="186">
        <f aca="true" t="shared" si="34" ref="W87:W98">V87-U87</f>
        <v>0</v>
      </c>
      <c r="X87" s="213"/>
      <c r="Y87" s="327"/>
    </row>
    <row r="88" spans="2:25" ht="31.5">
      <c r="B88" s="23" t="s">
        <v>29</v>
      </c>
      <c r="C88" s="73">
        <v>31030000</v>
      </c>
      <c r="D88" s="435">
        <v>5000</v>
      </c>
      <c r="E88" s="179">
        <v>5000</v>
      </c>
      <c r="F88" s="179">
        <v>806.429</v>
      </c>
      <c r="G88" s="180">
        <v>806.43</v>
      </c>
      <c r="H88" s="162">
        <f t="shared" si="31"/>
        <v>0.0009999999999763531</v>
      </c>
      <c r="I88" s="344">
        <f>G88/F88</f>
        <v>1.0000012400347706</v>
      </c>
      <c r="J88" s="167">
        <f>G88-E88</f>
        <v>-4193.57</v>
      </c>
      <c r="K88" s="208">
        <f>G88/E88</f>
        <v>0.16128599999999998</v>
      </c>
      <c r="L88" s="167"/>
      <c r="M88" s="167"/>
      <c r="N88" s="167"/>
      <c r="O88" s="167">
        <v>938.14</v>
      </c>
      <c r="P88" s="167">
        <f t="shared" si="32"/>
        <v>4061.86</v>
      </c>
      <c r="Q88" s="208">
        <f t="shared" si="33"/>
        <v>5.329694928262306</v>
      </c>
      <c r="R88" s="167">
        <v>0.04</v>
      </c>
      <c r="S88" s="167">
        <f t="shared" si="29"/>
        <v>806.39</v>
      </c>
      <c r="T88" s="208">
        <f t="shared" si="30"/>
        <v>20160.75</v>
      </c>
      <c r="U88" s="162">
        <f>F88-січень!F88</f>
        <v>0</v>
      </c>
      <c r="V88" s="168">
        <f>G88-січень!G88</f>
        <v>0</v>
      </c>
      <c r="W88" s="167">
        <f t="shared" si="34"/>
        <v>0</v>
      </c>
      <c r="X88" s="208" t="e">
        <f>V88/U88</f>
        <v>#DIV/0!</v>
      </c>
      <c r="Y88" s="327">
        <f t="shared" si="16"/>
        <v>20155.420305071737</v>
      </c>
    </row>
    <row r="89" spans="2:25" ht="18">
      <c r="B89" s="23" t="s">
        <v>30</v>
      </c>
      <c r="C89" s="73">
        <v>33010000</v>
      </c>
      <c r="D89" s="435">
        <v>16449</v>
      </c>
      <c r="E89" s="179">
        <v>16449</v>
      </c>
      <c r="F89" s="179">
        <v>1015</v>
      </c>
      <c r="G89" s="180">
        <v>116.55</v>
      </c>
      <c r="H89" s="162">
        <f t="shared" si="31"/>
        <v>-898.45</v>
      </c>
      <c r="I89" s="344">
        <f>G89/F89</f>
        <v>0.11482758620689655</v>
      </c>
      <c r="J89" s="167">
        <f aca="true" t="shared" si="35" ref="J89:J98">G89-E89</f>
        <v>-16332.45</v>
      </c>
      <c r="K89" s="208">
        <f>G89/E89</f>
        <v>0.0070855371147182196</v>
      </c>
      <c r="L89" s="167"/>
      <c r="M89" s="167"/>
      <c r="N89" s="167"/>
      <c r="O89" s="167">
        <v>8143.65</v>
      </c>
      <c r="P89" s="167">
        <f t="shared" si="32"/>
        <v>8305.35</v>
      </c>
      <c r="Q89" s="208">
        <f t="shared" si="33"/>
        <v>2.0198559613932328</v>
      </c>
      <c r="R89" s="167">
        <v>1.9</v>
      </c>
      <c r="S89" s="167">
        <f t="shared" si="29"/>
        <v>114.64999999999999</v>
      </c>
      <c r="T89" s="208">
        <f t="shared" si="30"/>
        <v>61.3421052631579</v>
      </c>
      <c r="U89" s="162">
        <f>F89-січень!F89</f>
        <v>1000</v>
      </c>
      <c r="V89" s="168">
        <f>G89-січень!G89</f>
        <v>101.55</v>
      </c>
      <c r="W89" s="167">
        <f t="shared" si="34"/>
        <v>-898.45</v>
      </c>
      <c r="X89" s="208">
        <f>V89/U89</f>
        <v>0.10155</v>
      </c>
      <c r="Y89" s="327">
        <f t="shared" si="16"/>
        <v>59.322249301764664</v>
      </c>
    </row>
    <row r="90" spans="2:25" ht="31.5">
      <c r="B90" s="23" t="s">
        <v>54</v>
      </c>
      <c r="C90" s="73">
        <v>24170000</v>
      </c>
      <c r="D90" s="435">
        <v>22000</v>
      </c>
      <c r="E90" s="179">
        <v>22000</v>
      </c>
      <c r="F90" s="179">
        <v>3000</v>
      </c>
      <c r="G90" s="180">
        <v>167.01</v>
      </c>
      <c r="H90" s="162">
        <f t="shared" si="31"/>
        <v>-2832.99</v>
      </c>
      <c r="I90" s="344">
        <f>G90/F90</f>
        <v>0.05567</v>
      </c>
      <c r="J90" s="167">
        <f t="shared" si="35"/>
        <v>-21832.99</v>
      </c>
      <c r="K90" s="208">
        <f>G90/E90</f>
        <v>0.007591363636363636</v>
      </c>
      <c r="L90" s="167"/>
      <c r="M90" s="167"/>
      <c r="N90" s="167"/>
      <c r="O90" s="167">
        <v>17305.88</v>
      </c>
      <c r="P90" s="167">
        <f t="shared" si="32"/>
        <v>4694.119999999999</v>
      </c>
      <c r="Q90" s="208">
        <f t="shared" si="33"/>
        <v>1.2712442245063527</v>
      </c>
      <c r="R90" s="167">
        <v>90.12</v>
      </c>
      <c r="S90" s="167">
        <f t="shared" si="29"/>
        <v>76.88999999999999</v>
      </c>
      <c r="T90" s="208">
        <f t="shared" si="30"/>
        <v>1.853195739014647</v>
      </c>
      <c r="U90" s="162">
        <f>F90-січень!F90</f>
        <v>2843</v>
      </c>
      <c r="V90" s="168">
        <f>G90-січень!G90</f>
        <v>10</v>
      </c>
      <c r="W90" s="167">
        <f t="shared" si="34"/>
        <v>-2833</v>
      </c>
      <c r="X90" s="208">
        <f>V90/U90</f>
        <v>0.0035174111853675696</v>
      </c>
      <c r="Y90" s="327">
        <f t="shared" si="16"/>
        <v>0.5819515145082943</v>
      </c>
    </row>
    <row r="91" spans="2:25" ht="18">
      <c r="B91" s="23" t="s">
        <v>101</v>
      </c>
      <c r="C91" s="73">
        <v>24110700</v>
      </c>
      <c r="D91" s="435">
        <v>24</v>
      </c>
      <c r="E91" s="179">
        <v>24</v>
      </c>
      <c r="F91" s="179">
        <v>4</v>
      </c>
      <c r="G91" s="180">
        <v>2</v>
      </c>
      <c r="H91" s="162">
        <f t="shared" si="31"/>
        <v>-2</v>
      </c>
      <c r="I91" s="344">
        <f>G91/F91</f>
        <v>0.5</v>
      </c>
      <c r="J91" s="167">
        <f t="shared" si="35"/>
        <v>-22</v>
      </c>
      <c r="K91" s="208">
        <f>G91/E91</f>
        <v>0.08333333333333333</v>
      </c>
      <c r="L91" s="167"/>
      <c r="M91" s="167"/>
      <c r="N91" s="167"/>
      <c r="O91" s="167">
        <v>20</v>
      </c>
      <c r="P91" s="167">
        <f t="shared" si="32"/>
        <v>4</v>
      </c>
      <c r="Q91" s="208">
        <f t="shared" si="33"/>
        <v>1.2</v>
      </c>
      <c r="R91" s="167">
        <v>1</v>
      </c>
      <c r="S91" s="167">
        <f t="shared" si="29"/>
        <v>1</v>
      </c>
      <c r="T91" s="208">
        <f t="shared" si="30"/>
        <v>2</v>
      </c>
      <c r="U91" s="162">
        <f>F91-січень!F91</f>
        <v>3</v>
      </c>
      <c r="V91" s="168">
        <f>G91-січень!G91</f>
        <v>1</v>
      </c>
      <c r="W91" s="167">
        <f t="shared" si="34"/>
        <v>-2</v>
      </c>
      <c r="X91" s="208">
        <f>V91/U91</f>
        <v>0.3333333333333333</v>
      </c>
      <c r="Y91" s="327">
        <f t="shared" si="16"/>
        <v>0.8</v>
      </c>
    </row>
    <row r="92" spans="2:25" ht="33">
      <c r="B92" s="28" t="s">
        <v>51</v>
      </c>
      <c r="C92" s="65"/>
      <c r="D92" s="182">
        <f>D88+D89+D90+D91</f>
        <v>43473</v>
      </c>
      <c r="E92" s="182">
        <f>E88+E89+E90+E91</f>
        <v>43473</v>
      </c>
      <c r="F92" s="182">
        <f>F88+F89+F90+F91</f>
        <v>4825.429</v>
      </c>
      <c r="G92" s="183">
        <f>G88+G89+G90+G91</f>
        <v>1091.9899999999998</v>
      </c>
      <c r="H92" s="184">
        <f t="shared" si="31"/>
        <v>-3733.4390000000003</v>
      </c>
      <c r="I92" s="347">
        <f>G92/F92</f>
        <v>0.226299050302056</v>
      </c>
      <c r="J92" s="186">
        <f t="shared" si="35"/>
        <v>-42381.01</v>
      </c>
      <c r="K92" s="213">
        <f>G92/E92</f>
        <v>0.025118809375934484</v>
      </c>
      <c r="L92" s="186"/>
      <c r="M92" s="186"/>
      <c r="N92" s="186"/>
      <c r="O92" s="186">
        <v>26407.66</v>
      </c>
      <c r="P92" s="186">
        <f t="shared" si="32"/>
        <v>17065.34</v>
      </c>
      <c r="Q92" s="213">
        <f t="shared" si="33"/>
        <v>1.6462268902280626</v>
      </c>
      <c r="R92" s="186">
        <v>93.06</v>
      </c>
      <c r="S92" s="167">
        <f t="shared" si="29"/>
        <v>998.9299999999998</v>
      </c>
      <c r="T92" s="208">
        <f t="shared" si="30"/>
        <v>11.734257468300019</v>
      </c>
      <c r="U92" s="184">
        <f>F92-січень!F92</f>
        <v>3846</v>
      </c>
      <c r="V92" s="263">
        <f>G92-січень!G92</f>
        <v>112.54999999999984</v>
      </c>
      <c r="W92" s="186">
        <f t="shared" si="34"/>
        <v>-3733.4500000000003</v>
      </c>
      <c r="X92" s="213">
        <f>V92/U92</f>
        <v>0.029264170566822633</v>
      </c>
      <c r="Y92" s="327">
        <f t="shared" si="16"/>
        <v>10.088030578071956</v>
      </c>
    </row>
    <row r="93" spans="2:25" ht="46.5">
      <c r="B93" s="12" t="s">
        <v>40</v>
      </c>
      <c r="C93" s="75">
        <v>24062100</v>
      </c>
      <c r="D93" s="436">
        <v>43</v>
      </c>
      <c r="E93" s="179">
        <v>43</v>
      </c>
      <c r="F93" s="179">
        <v>3</v>
      </c>
      <c r="G93" s="180">
        <v>0.02</v>
      </c>
      <c r="H93" s="162">
        <f t="shared" si="31"/>
        <v>-2.98</v>
      </c>
      <c r="I93" s="344"/>
      <c r="J93" s="167">
        <f t="shared" si="35"/>
        <v>-42.98</v>
      </c>
      <c r="K93" s="208"/>
      <c r="L93" s="167"/>
      <c r="M93" s="167"/>
      <c r="N93" s="167"/>
      <c r="O93" s="167">
        <v>49.17</v>
      </c>
      <c r="P93" s="167">
        <f t="shared" si="32"/>
        <v>-6.170000000000002</v>
      </c>
      <c r="Q93" s="208">
        <f t="shared" si="33"/>
        <v>0.8745169818995322</v>
      </c>
      <c r="R93" s="167">
        <v>0</v>
      </c>
      <c r="S93" s="167">
        <f t="shared" si="29"/>
        <v>0.02</v>
      </c>
      <c r="T93" s="208" t="e">
        <f t="shared" si="30"/>
        <v>#DIV/0!</v>
      </c>
      <c r="U93" s="162">
        <f>F93-січень!F93</f>
        <v>3</v>
      </c>
      <c r="V93" s="168">
        <f>G93-січень!G93</f>
        <v>0.01</v>
      </c>
      <c r="W93" s="167">
        <f t="shared" si="34"/>
        <v>-2.99</v>
      </c>
      <c r="X93" s="208"/>
      <c r="Y93" s="327" t="e">
        <f t="shared" si="16"/>
        <v>#DIV/0!</v>
      </c>
    </row>
    <row r="94" spans="2:25" ht="18" hidden="1">
      <c r="B94" s="233" t="s">
        <v>52</v>
      </c>
      <c r="C94" s="73">
        <v>24061600</v>
      </c>
      <c r="D94" s="435"/>
      <c r="E94" s="179">
        <v>0</v>
      </c>
      <c r="F94" s="179">
        <f>E94</f>
        <v>0</v>
      </c>
      <c r="G94" s="180">
        <v>0</v>
      </c>
      <c r="H94" s="162">
        <f t="shared" si="31"/>
        <v>0</v>
      </c>
      <c r="I94" s="344"/>
      <c r="J94" s="167">
        <f t="shared" si="35"/>
        <v>0</v>
      </c>
      <c r="K94" s="355"/>
      <c r="L94" s="189"/>
      <c r="M94" s="189"/>
      <c r="N94" s="189"/>
      <c r="O94" s="189"/>
      <c r="P94" s="167">
        <f t="shared" si="32"/>
        <v>0</v>
      </c>
      <c r="Q94" s="208" t="e">
        <f t="shared" si="33"/>
        <v>#DIV/0!</v>
      </c>
      <c r="R94" s="167">
        <f>O94</f>
        <v>0</v>
      </c>
      <c r="S94" s="167">
        <f t="shared" si="29"/>
        <v>0</v>
      </c>
      <c r="T94" s="208" t="e">
        <f t="shared" si="30"/>
        <v>#DIV/0!</v>
      </c>
      <c r="U94" s="162">
        <f>F94-січень!F94</f>
        <v>0</v>
      </c>
      <c r="V94" s="168">
        <f>G94-січень!G94</f>
        <v>0</v>
      </c>
      <c r="W94" s="167">
        <f t="shared" si="34"/>
        <v>0</v>
      </c>
      <c r="X94" s="355"/>
      <c r="Y94" s="327" t="e">
        <f t="shared" si="16"/>
        <v>#DIV/0!</v>
      </c>
    </row>
    <row r="95" spans="2:25" ht="18">
      <c r="B95" s="23" t="s">
        <v>46</v>
      </c>
      <c r="C95" s="73">
        <v>19010000</v>
      </c>
      <c r="D95" s="435">
        <v>9050</v>
      </c>
      <c r="E95" s="179">
        <v>9050</v>
      </c>
      <c r="F95" s="179">
        <v>2818.75</v>
      </c>
      <c r="G95" s="180">
        <v>497.5</v>
      </c>
      <c r="H95" s="162">
        <f t="shared" si="31"/>
        <v>-2321.25</v>
      </c>
      <c r="I95" s="344">
        <f>G95/F95</f>
        <v>0.17649667405764966</v>
      </c>
      <c r="J95" s="167">
        <f t="shared" si="35"/>
        <v>-8552.5</v>
      </c>
      <c r="K95" s="208">
        <f>G95/E95</f>
        <v>0.054972375690607735</v>
      </c>
      <c r="L95" s="167"/>
      <c r="M95" s="167"/>
      <c r="N95" s="167"/>
      <c r="O95" s="167">
        <v>8033.94</v>
      </c>
      <c r="P95" s="167">
        <f t="shared" si="32"/>
        <v>1016.0600000000004</v>
      </c>
      <c r="Q95" s="208">
        <f t="shared" si="33"/>
        <v>1.1264709470073215</v>
      </c>
      <c r="R95" s="167">
        <v>11.48</v>
      </c>
      <c r="S95" s="167">
        <f t="shared" si="29"/>
        <v>486.02</v>
      </c>
      <c r="T95" s="208">
        <f t="shared" si="30"/>
        <v>43.336236933797906</v>
      </c>
      <c r="U95" s="162">
        <f>F95-січень!F95</f>
        <v>2356</v>
      </c>
      <c r="V95" s="168">
        <f>G95-січень!G95</f>
        <v>34.25999999999999</v>
      </c>
      <c r="W95" s="167">
        <f t="shared" si="34"/>
        <v>-2321.74</v>
      </c>
      <c r="X95" s="208">
        <f>V95/U95</f>
        <v>0.01454159592529711</v>
      </c>
      <c r="Y95" s="327">
        <f t="shared" si="16"/>
        <v>42.209765986790586</v>
      </c>
    </row>
    <row r="96" spans="2:25" ht="31.5" hidden="1">
      <c r="B96" s="23" t="s">
        <v>50</v>
      </c>
      <c r="C96" s="73">
        <v>19050000</v>
      </c>
      <c r="D96" s="421"/>
      <c r="E96" s="179">
        <v>0</v>
      </c>
      <c r="F96" s="179">
        <v>0</v>
      </c>
      <c r="G96" s="180">
        <v>0</v>
      </c>
      <c r="H96" s="162">
        <f t="shared" si="31"/>
        <v>0</v>
      </c>
      <c r="I96" s="344"/>
      <c r="J96" s="167">
        <f t="shared" si="35"/>
        <v>0</v>
      </c>
      <c r="K96" s="208"/>
      <c r="L96" s="167"/>
      <c r="M96" s="167"/>
      <c r="N96" s="167"/>
      <c r="O96" s="167">
        <v>0.1</v>
      </c>
      <c r="P96" s="167">
        <f t="shared" si="32"/>
        <v>-0.1</v>
      </c>
      <c r="Q96" s="208">
        <f t="shared" si="33"/>
        <v>0</v>
      </c>
      <c r="R96" s="167">
        <v>0</v>
      </c>
      <c r="S96" s="167">
        <f t="shared" si="29"/>
        <v>0</v>
      </c>
      <c r="T96" s="208" t="e">
        <f t="shared" si="30"/>
        <v>#DIV/0!</v>
      </c>
      <c r="U96" s="162">
        <f>F96-січень!F96</f>
        <v>0</v>
      </c>
      <c r="V96" s="168">
        <f>G96-січень!G96</f>
        <v>0</v>
      </c>
      <c r="W96" s="167">
        <f t="shared" si="34"/>
        <v>0</v>
      </c>
      <c r="X96" s="355"/>
      <c r="Y96" s="327" t="e">
        <f t="shared" si="16"/>
        <v>#DIV/0!</v>
      </c>
    </row>
    <row r="97" spans="2:25" ht="30.75">
      <c r="B97" s="28" t="s">
        <v>47</v>
      </c>
      <c r="C97" s="73"/>
      <c r="D97" s="182">
        <f>D93+D96+D94+D95</f>
        <v>9093</v>
      </c>
      <c r="E97" s="182">
        <f>E93+E96+E94+E95</f>
        <v>9093</v>
      </c>
      <c r="F97" s="182">
        <f>F93+F96+F94+F95</f>
        <v>2821.75</v>
      </c>
      <c r="G97" s="183">
        <f>G93+G96+G94+G95</f>
        <v>497.52</v>
      </c>
      <c r="H97" s="184">
        <f t="shared" si="31"/>
        <v>-2324.23</v>
      </c>
      <c r="I97" s="347">
        <f>G97/F97</f>
        <v>0.17631611588553203</v>
      </c>
      <c r="J97" s="186">
        <f t="shared" si="35"/>
        <v>-8595.48</v>
      </c>
      <c r="K97" s="213">
        <f>G97/E97</f>
        <v>0.054714615638403165</v>
      </c>
      <c r="L97" s="186"/>
      <c r="M97" s="186"/>
      <c r="N97" s="186"/>
      <c r="O97" s="186">
        <v>8083.21</v>
      </c>
      <c r="P97" s="186">
        <f t="shared" si="32"/>
        <v>1009.79</v>
      </c>
      <c r="Q97" s="213">
        <f t="shared" si="33"/>
        <v>1.1249243802895137</v>
      </c>
      <c r="R97" s="186">
        <v>11.82</v>
      </c>
      <c r="S97" s="167">
        <f t="shared" si="29"/>
        <v>485.7</v>
      </c>
      <c r="T97" s="208">
        <f t="shared" si="30"/>
        <v>42.09137055837563</v>
      </c>
      <c r="U97" s="184">
        <f>F97-січень!F97</f>
        <v>2359</v>
      </c>
      <c r="V97" s="263">
        <f>G97-січень!G97</f>
        <v>34.26999999999998</v>
      </c>
      <c r="W97" s="186">
        <f t="shared" si="34"/>
        <v>-2324.73</v>
      </c>
      <c r="X97" s="213">
        <f>V97/U97</f>
        <v>0.014527342094107665</v>
      </c>
      <c r="Y97" s="327">
        <f t="shared" si="16"/>
        <v>40.966446178086116</v>
      </c>
    </row>
    <row r="98" spans="2:25" ht="30.75">
      <c r="B98" s="12" t="s">
        <v>41</v>
      </c>
      <c r="C98" s="43">
        <v>24110900</v>
      </c>
      <c r="D98" s="408">
        <v>19.413</v>
      </c>
      <c r="E98" s="179">
        <v>19.413</v>
      </c>
      <c r="F98" s="179">
        <v>3.46</v>
      </c>
      <c r="G98" s="180">
        <v>1.7</v>
      </c>
      <c r="H98" s="162">
        <f t="shared" si="31"/>
        <v>-1.76</v>
      </c>
      <c r="I98" s="344">
        <f>G98/F98</f>
        <v>0.4913294797687861</v>
      </c>
      <c r="J98" s="167">
        <f t="shared" si="35"/>
        <v>-17.713</v>
      </c>
      <c r="K98" s="208">
        <f>G98/E98</f>
        <v>0.08757018492762582</v>
      </c>
      <c r="L98" s="167"/>
      <c r="M98" s="167"/>
      <c r="N98" s="167"/>
      <c r="O98" s="167">
        <v>37.96</v>
      </c>
      <c r="P98" s="167">
        <f t="shared" si="32"/>
        <v>-18.547</v>
      </c>
      <c r="Q98" s="208">
        <f t="shared" si="33"/>
        <v>0.5114067439409905</v>
      </c>
      <c r="R98" s="186">
        <v>0.34</v>
      </c>
      <c r="S98" s="167">
        <f t="shared" si="29"/>
        <v>1.3599999999999999</v>
      </c>
      <c r="T98" s="208">
        <f t="shared" si="30"/>
        <v>4.999999999999999</v>
      </c>
      <c r="U98" s="162">
        <f>F98-січень!F98</f>
        <v>1.7644199999999999</v>
      </c>
      <c r="V98" s="168">
        <f>G98-січень!G98</f>
        <v>0</v>
      </c>
      <c r="W98" s="167">
        <f t="shared" si="34"/>
        <v>-1.7644199999999999</v>
      </c>
      <c r="X98" s="208">
        <f>V98/U98</f>
        <v>0</v>
      </c>
      <c r="Y98" s="327">
        <f t="shared" si="16"/>
        <v>4.4885932560590085</v>
      </c>
    </row>
    <row r="99" spans="2:25" ht="18" hidden="1">
      <c r="B99" s="122"/>
      <c r="C99" s="43">
        <v>21110000</v>
      </c>
      <c r="D99" s="408"/>
      <c r="E99" s="179">
        <v>0</v>
      </c>
      <c r="F99" s="179">
        <v>0</v>
      </c>
      <c r="G99" s="180"/>
      <c r="H99" s="162" t="e">
        <f>#N/A</f>
        <v>#N/A</v>
      </c>
      <c r="I99" s="344"/>
      <c r="J99" s="167" t="e">
        <f>#N/A</f>
        <v>#N/A</v>
      </c>
      <c r="K99" s="208"/>
      <c r="L99" s="167"/>
      <c r="M99" s="167"/>
      <c r="N99" s="167"/>
      <c r="O99" s="167"/>
      <c r="P99" s="167"/>
      <c r="Q99" s="208"/>
      <c r="R99" s="167">
        <v>18.76</v>
      </c>
      <c r="S99" s="186" t="e">
        <f>#N/A</f>
        <v>#N/A</v>
      </c>
      <c r="T99" s="208">
        <f t="shared" si="30"/>
        <v>0</v>
      </c>
      <c r="U99" s="164" t="e">
        <f>F99-#REF!</f>
        <v>#REF!</v>
      </c>
      <c r="V99" s="168" t="e">
        <f>G99-#REF!</f>
        <v>#REF!</v>
      </c>
      <c r="W99" s="167" t="e">
        <f>#N/A</f>
        <v>#N/A</v>
      </c>
      <c r="X99" s="208"/>
      <c r="Y99" s="327">
        <f t="shared" si="16"/>
        <v>0</v>
      </c>
    </row>
    <row r="100" spans="2:25" ht="23.25" customHeight="1">
      <c r="B100" s="272" t="s">
        <v>31</v>
      </c>
      <c r="C100" s="273"/>
      <c r="D100" s="274">
        <f>D86+D87+D92+D97+D98</f>
        <v>52585.413</v>
      </c>
      <c r="E100" s="274">
        <f>E86+E87+E92+E97+E98</f>
        <v>52585.413</v>
      </c>
      <c r="F100" s="274">
        <f>F86+F87+F92+F97+F98</f>
        <v>7650.639</v>
      </c>
      <c r="G100" s="274">
        <f>G86+G87+G92+G97+G98</f>
        <v>1591.2199999999998</v>
      </c>
      <c r="H100" s="275">
        <f>G100-F100</f>
        <v>-6059.419</v>
      </c>
      <c r="I100" s="348">
        <f>G100/F100</f>
        <v>0.2079852414942072</v>
      </c>
      <c r="J100" s="268">
        <f>G100-E100</f>
        <v>-50994.193</v>
      </c>
      <c r="K100" s="269">
        <f>G100/E100</f>
        <v>0.03025972240628784</v>
      </c>
      <c r="L100" s="268"/>
      <c r="M100" s="268"/>
      <c r="N100" s="268"/>
      <c r="O100" s="268">
        <v>34561.77</v>
      </c>
      <c r="P100" s="268">
        <f>E100-O100</f>
        <v>18023.643000000004</v>
      </c>
      <c r="Q100" s="269">
        <f>E100/O100</f>
        <v>1.5214907396235784</v>
      </c>
      <c r="R100" s="274">
        <v>117.03</v>
      </c>
      <c r="S100" s="268">
        <f>G100-R100</f>
        <v>1474.1899999999998</v>
      </c>
      <c r="T100" s="269">
        <f t="shared" si="30"/>
        <v>13.596684610783559</v>
      </c>
      <c r="U100" s="274">
        <f>U86+U87+U92+U97+U98</f>
        <v>6206.76442</v>
      </c>
      <c r="V100" s="274">
        <f>V86+V87+V92+V97+V98</f>
        <v>146.81999999999982</v>
      </c>
      <c r="W100" s="268">
        <f>V100-U100</f>
        <v>-6059.944420000001</v>
      </c>
      <c r="X100" s="269">
        <f>V100/U100</f>
        <v>0.023654836894872806</v>
      </c>
      <c r="Y100" s="327">
        <f>T100-Q100</f>
        <v>12.07519387115998</v>
      </c>
    </row>
    <row r="101" spans="2:25" ht="17.25">
      <c r="B101" s="276" t="s">
        <v>146</v>
      </c>
      <c r="C101" s="273"/>
      <c r="D101" s="430">
        <f>D79+D100</f>
        <v>1680503.113</v>
      </c>
      <c r="E101" s="274">
        <f>E79+E100</f>
        <v>1680503.113</v>
      </c>
      <c r="F101" s="274">
        <f>F79+F100</f>
        <v>244054.29600000003</v>
      </c>
      <c r="G101" s="274">
        <f>G79+G100</f>
        <v>163794.26</v>
      </c>
      <c r="H101" s="275">
        <f>G101-F101</f>
        <v>-80260.03600000002</v>
      </c>
      <c r="I101" s="348">
        <f>G101/F101</f>
        <v>0.6711386059764339</v>
      </c>
      <c r="J101" s="268">
        <f>G101-E101</f>
        <v>-1516708.853</v>
      </c>
      <c r="K101" s="269">
        <f>G101/E101</f>
        <v>0.0974673945754244</v>
      </c>
      <c r="L101" s="268"/>
      <c r="M101" s="268"/>
      <c r="N101" s="268"/>
      <c r="O101" s="268">
        <f>O79+O100</f>
        <v>1433558.23</v>
      </c>
      <c r="P101" s="268">
        <f>E101-O101</f>
        <v>246944.8829999999</v>
      </c>
      <c r="Q101" s="269">
        <f>E101/O101</f>
        <v>1.1722600992636343</v>
      </c>
      <c r="R101" s="268">
        <f>R79+R100</f>
        <v>203643.4</v>
      </c>
      <c r="S101" s="268">
        <f>S79+S100</f>
        <v>-39849.139999999985</v>
      </c>
      <c r="T101" s="269">
        <f t="shared" si="30"/>
        <v>0.8043190204052771</v>
      </c>
      <c r="U101" s="275">
        <f>U79+U100</f>
        <v>127331.87242000001</v>
      </c>
      <c r="V101" s="275">
        <f>V79+V100</f>
        <v>47071.32000000001</v>
      </c>
      <c r="W101" s="268">
        <f>V101-U101</f>
        <v>-80260.55242</v>
      </c>
      <c r="X101" s="269">
        <f>V101/U101</f>
        <v>0.36967429368145</v>
      </c>
      <c r="Y101" s="327">
        <f>T101-Q101</f>
        <v>-0.36794107885835714</v>
      </c>
    </row>
    <row r="102" spans="2:25" ht="15">
      <c r="B102" s="20" t="s">
        <v>34</v>
      </c>
      <c r="V102" s="25"/>
      <c r="Y102" s="327"/>
    </row>
    <row r="103" spans="2:25" ht="15">
      <c r="B103" s="4" t="s">
        <v>36</v>
      </c>
      <c r="C103" s="76">
        <v>11</v>
      </c>
      <c r="D103" s="76"/>
      <c r="E103" s="4" t="s">
        <v>35</v>
      </c>
      <c r="V103" s="78"/>
      <c r="Y103" s="327"/>
    </row>
    <row r="104" spans="2:25" ht="30.75">
      <c r="B104" s="52" t="s">
        <v>53</v>
      </c>
      <c r="C104" s="29">
        <f>IF(W79&lt;0,ABS(W79/C103),0)</f>
        <v>6745.509818181818</v>
      </c>
      <c r="D104" s="29"/>
      <c r="E104" s="4" t="s">
        <v>24</v>
      </c>
      <c r="F104" s="29">
        <f>F98+F97+F92</f>
        <v>7650.639</v>
      </c>
      <c r="H104" s="457"/>
      <c r="I104" s="457"/>
      <c r="J104" s="457"/>
      <c r="K104" s="457"/>
      <c r="L104" s="84"/>
      <c r="M104" s="84"/>
      <c r="N104" s="84"/>
      <c r="O104" s="84"/>
      <c r="P104" s="84"/>
      <c r="Q104" s="307"/>
      <c r="R104" s="84"/>
      <c r="S104" s="84"/>
      <c r="T104" s="84"/>
      <c r="X104" s="25"/>
      <c r="Y104" s="327"/>
    </row>
    <row r="105" spans="2:25" ht="34.5" customHeight="1">
      <c r="B105" s="53" t="s">
        <v>55</v>
      </c>
      <c r="C105" s="81">
        <v>43144</v>
      </c>
      <c r="D105" s="81"/>
      <c r="E105" s="29">
        <v>4131</v>
      </c>
      <c r="H105" s="4" t="s">
        <v>58</v>
      </c>
      <c r="V105" s="445"/>
      <c r="W105" s="445"/>
      <c r="Y105" s="327"/>
    </row>
    <row r="106" spans="3:25" ht="15">
      <c r="C106" s="81">
        <v>43143</v>
      </c>
      <c r="D106" s="81"/>
      <c r="E106" s="29">
        <v>6887.7</v>
      </c>
      <c r="H106" s="441"/>
      <c r="I106" s="441"/>
      <c r="J106" s="118"/>
      <c r="K106" s="265"/>
      <c r="L106" s="265"/>
      <c r="M106" s="265"/>
      <c r="N106" s="265"/>
      <c r="O106" s="265"/>
      <c r="P106" s="265"/>
      <c r="Q106" s="308"/>
      <c r="R106" s="265"/>
      <c r="S106" s="265"/>
      <c r="T106" s="265"/>
      <c r="U106" s="265"/>
      <c r="V106" s="445"/>
      <c r="W106" s="445"/>
      <c r="Y106" s="327"/>
    </row>
    <row r="107" spans="3:25" ht="15.75" customHeight="1">
      <c r="C107" s="81">
        <v>43140</v>
      </c>
      <c r="D107" s="81"/>
      <c r="E107" s="29">
        <v>3658.4</v>
      </c>
      <c r="H107" s="441"/>
      <c r="I107" s="441"/>
      <c r="J107" s="118"/>
      <c r="K107" s="266"/>
      <c r="L107" s="266"/>
      <c r="M107" s="266"/>
      <c r="N107" s="266"/>
      <c r="O107" s="266"/>
      <c r="P107" s="266"/>
      <c r="Q107" s="309"/>
      <c r="R107" s="266"/>
      <c r="S107" s="266"/>
      <c r="T107" s="266"/>
      <c r="U107" s="266"/>
      <c r="V107" s="445"/>
      <c r="W107" s="445"/>
      <c r="Y107" s="327"/>
    </row>
    <row r="108" spans="3:25" ht="15.75" customHeight="1">
      <c r="C108" s="81"/>
      <c r="D108" s="81"/>
      <c r="G108" s="68"/>
      <c r="H108" s="446"/>
      <c r="I108" s="446"/>
      <c r="J108" s="124"/>
      <c r="K108" s="265"/>
      <c r="L108" s="265"/>
      <c r="M108" s="265"/>
      <c r="N108" s="265"/>
      <c r="O108" s="265"/>
      <c r="P108" s="265"/>
      <c r="Q108" s="308"/>
      <c r="R108" s="265"/>
      <c r="S108" s="265"/>
      <c r="T108" s="265"/>
      <c r="U108" s="265"/>
      <c r="Y108" s="327"/>
    </row>
    <row r="109" spans="2:25" ht="18" customHeight="1">
      <c r="B109" s="439" t="s">
        <v>56</v>
      </c>
      <c r="C109" s="440"/>
      <c r="D109" s="401"/>
      <c r="E109" s="133">
        <v>5.41293</v>
      </c>
      <c r="F109" s="69"/>
      <c r="G109" s="125" t="s">
        <v>107</v>
      </c>
      <c r="H109" s="441"/>
      <c r="I109" s="441"/>
      <c r="J109" s="126"/>
      <c r="K109" s="265"/>
      <c r="L109" s="265"/>
      <c r="M109" s="265"/>
      <c r="N109" s="265"/>
      <c r="O109" s="265"/>
      <c r="P109" s="265"/>
      <c r="Q109" s="308"/>
      <c r="R109" s="265"/>
      <c r="S109" s="265"/>
      <c r="T109" s="265"/>
      <c r="U109" s="265"/>
      <c r="Y109" s="327"/>
    </row>
    <row r="110" spans="7:25" ht="9.75" customHeight="1">
      <c r="G110" s="68"/>
      <c r="H110" s="441"/>
      <c r="I110" s="441"/>
      <c r="J110" s="68"/>
      <c r="K110" s="69"/>
      <c r="L110" s="69"/>
      <c r="M110" s="69"/>
      <c r="N110" s="69"/>
      <c r="O110" s="69"/>
      <c r="P110" s="69"/>
      <c r="Q110" s="310"/>
      <c r="R110" s="69"/>
      <c r="S110" s="69"/>
      <c r="T110" s="69"/>
      <c r="Y110" s="327"/>
    </row>
    <row r="111" spans="2:25" ht="22.5" customHeight="1" hidden="1">
      <c r="B111" s="442" t="s">
        <v>59</v>
      </c>
      <c r="C111" s="443"/>
      <c r="D111" s="402"/>
      <c r="E111" s="80">
        <v>0</v>
      </c>
      <c r="F111" s="51" t="s">
        <v>24</v>
      </c>
      <c r="G111" s="68"/>
      <c r="H111" s="441"/>
      <c r="I111" s="441"/>
      <c r="J111" s="68"/>
      <c r="K111" s="69"/>
      <c r="L111" s="69"/>
      <c r="M111" s="69"/>
      <c r="N111" s="69"/>
      <c r="O111" s="69"/>
      <c r="P111" s="69"/>
      <c r="Q111" s="310"/>
      <c r="R111" s="367"/>
      <c r="S111" s="367"/>
      <c r="T111" s="367"/>
      <c r="U111" s="3"/>
      <c r="V111" s="3"/>
      <c r="W111" s="3"/>
      <c r="X111" s="3"/>
      <c r="Y111" s="327"/>
    </row>
    <row r="112" spans="2:25" ht="15" hidden="1">
      <c r="B112" s="261" t="s">
        <v>149</v>
      </c>
      <c r="E112" s="68">
        <f>E60+E63+E64</f>
        <v>2095</v>
      </c>
      <c r="F112" s="68">
        <f>F60+F63+F64</f>
        <v>309</v>
      </c>
      <c r="G112" s="202">
        <f>G60+G63+G64</f>
        <v>217.86</v>
      </c>
      <c r="H112" s="68">
        <f>H60+H63+H64</f>
        <v>-91.14</v>
      </c>
      <c r="I112" s="69"/>
      <c r="J112" s="69"/>
      <c r="R112" s="3"/>
      <c r="S112" s="3"/>
      <c r="T112" s="3"/>
      <c r="U112" s="113"/>
      <c r="V112" s="113"/>
      <c r="W112" s="113"/>
      <c r="X112" s="3"/>
      <c r="Y112" s="327"/>
    </row>
    <row r="113" spans="5:25" ht="15" hidden="1">
      <c r="E113" s="78"/>
      <c r="J113" s="29"/>
      <c r="R113" s="3"/>
      <c r="S113" s="3"/>
      <c r="T113" s="3"/>
      <c r="U113" s="3"/>
      <c r="V113" s="444"/>
      <c r="W113" s="444"/>
      <c r="X113" s="3"/>
      <c r="Y113" s="327"/>
    </row>
    <row r="114" spans="2:25" ht="15" hidden="1">
      <c r="B114" s="4" t="s">
        <v>118</v>
      </c>
      <c r="E114" s="29">
        <f>E9+E15+E18+E19+E23+E54+E57+E77+E71</f>
        <v>1583334.8</v>
      </c>
      <c r="F114" s="29">
        <f>F9+F15+F18+F19+F23+F54+F57+F77+F71</f>
        <v>229578.719</v>
      </c>
      <c r="G114" s="228">
        <f>G9+G15+G18+G19+G23+G54+G57+G77+G71</f>
        <v>156814.59</v>
      </c>
      <c r="H114" s="29">
        <f>G114-F114</f>
        <v>-72764.12900000002</v>
      </c>
      <c r="I114" s="229">
        <f>G114/F114</f>
        <v>0.6830536849541354</v>
      </c>
      <c r="J114" s="29">
        <f>G114-E114</f>
        <v>-1426520.21</v>
      </c>
      <c r="K114" s="229">
        <f>G114/E114</f>
        <v>0.09904070194124451</v>
      </c>
      <c r="L114" s="229"/>
      <c r="M114" s="229"/>
      <c r="N114" s="229"/>
      <c r="O114" s="229"/>
      <c r="P114" s="229"/>
      <c r="R114" s="3"/>
      <c r="S114" s="3"/>
      <c r="T114" s="3"/>
      <c r="U114" s="113"/>
      <c r="V114" s="113"/>
      <c r="W114" s="113"/>
      <c r="X114" s="398"/>
      <c r="Y114" s="327"/>
    </row>
    <row r="115" spans="2:25" ht="15" hidden="1">
      <c r="B115" s="4" t="s">
        <v>119</v>
      </c>
      <c r="E115" s="29">
        <f>E55+E56+E58+E60+E62+E63+E64+E65+E66+E72+E76+E59+E78</f>
        <v>44582.9</v>
      </c>
      <c r="F115" s="29">
        <f>F55+F56+F58+F60+F62+F63+F64+F65+F66+F72+F76+F59+F78</f>
        <v>6824.938</v>
      </c>
      <c r="G115" s="228">
        <f>G55+G56+G58+G60+G62+G63+G64+G65+G66+G72+G76+G59+G78</f>
        <v>5388.45</v>
      </c>
      <c r="H115" s="29">
        <f>H55+H56+H58+H60+H62+H63+H64+H65+H66+H72+H76+H59</f>
        <v>-1436.5980000000004</v>
      </c>
      <c r="I115" s="229">
        <f>G115/F115</f>
        <v>0.7895236557460302</v>
      </c>
      <c r="J115" s="29">
        <f>J55+J56+J58+J60+J62+J63+J64+J65+J66+J72+J76+J59</f>
        <v>-39194.56</v>
      </c>
      <c r="K115" s="229">
        <f>G115/E115</f>
        <v>0.12086360465559665</v>
      </c>
      <c r="L115" s="229"/>
      <c r="M115" s="229"/>
      <c r="N115" s="229"/>
      <c r="O115" s="229"/>
      <c r="P115" s="229"/>
      <c r="R115" s="113"/>
      <c r="S115" s="113"/>
      <c r="T115" s="113"/>
      <c r="U115" s="113"/>
      <c r="V115" s="113"/>
      <c r="W115" s="113"/>
      <c r="X115" s="398"/>
      <c r="Y115" s="327"/>
    </row>
    <row r="116" spans="2:25" ht="15" hidden="1">
      <c r="B116" s="4" t="s">
        <v>120</v>
      </c>
      <c r="E116" s="29">
        <f>SUM(E114:E115)</f>
        <v>1627917.7</v>
      </c>
      <c r="F116" s="29">
        <f>SUM(F114:F115)</f>
        <v>236403.657</v>
      </c>
      <c r="G116" s="29">
        <f>SUM(G114:G115)</f>
        <v>162203.04</v>
      </c>
      <c r="H116" s="29">
        <f>SUM(H114:H115)</f>
        <v>-74200.72700000001</v>
      </c>
      <c r="I116" s="229">
        <f>G116/F116</f>
        <v>0.6861274569876895</v>
      </c>
      <c r="J116" s="29">
        <f>SUM(J114:J115)</f>
        <v>-1465714.77</v>
      </c>
      <c r="K116" s="229">
        <f>G116/E116</f>
        <v>0.09963835395364275</v>
      </c>
      <c r="L116" s="229"/>
      <c r="M116" s="229"/>
      <c r="N116" s="229"/>
      <c r="O116" s="229"/>
      <c r="P116" s="229"/>
      <c r="R116" s="113"/>
      <c r="S116" s="113"/>
      <c r="T116" s="113"/>
      <c r="U116" s="113"/>
      <c r="V116" s="113"/>
      <c r="W116" s="113"/>
      <c r="X116" s="398"/>
      <c r="Y116" s="327"/>
    </row>
    <row r="117" spans="5:25" ht="15" hidden="1">
      <c r="E117" s="29">
        <f>E79-E116</f>
        <v>0</v>
      </c>
      <c r="F117" s="29" t="e">
        <f>#N/A</f>
        <v>#N/A</v>
      </c>
      <c r="G117" s="29" t="e">
        <f>#N/A</f>
        <v>#N/A</v>
      </c>
      <c r="H117" s="29" t="e">
        <f>#N/A</f>
        <v>#N/A</v>
      </c>
      <c r="I117" s="229"/>
      <c r="J117" s="29" t="e">
        <f>#N/A</f>
        <v>#N/A</v>
      </c>
      <c r="K117" s="229"/>
      <c r="L117" s="229"/>
      <c r="M117" s="229"/>
      <c r="N117" s="229"/>
      <c r="O117" s="229"/>
      <c r="P117" s="229"/>
      <c r="R117" s="113"/>
      <c r="S117" s="113"/>
      <c r="T117" s="113"/>
      <c r="U117" s="113"/>
      <c r="V117" s="113"/>
      <c r="W117" s="113"/>
      <c r="X117" s="113"/>
      <c r="Y117" s="327"/>
    </row>
    <row r="118" spans="6:25" ht="15" hidden="1">
      <c r="F118" s="4" t="s">
        <v>58</v>
      </c>
      <c r="R118" s="3"/>
      <c r="S118" s="3"/>
      <c r="T118" s="3"/>
      <c r="U118" s="3"/>
      <c r="V118" s="3"/>
      <c r="W118" s="3"/>
      <c r="X118" s="3"/>
      <c r="Y118" s="327"/>
    </row>
    <row r="119" spans="2:25" ht="15" hidden="1">
      <c r="B119" s="242" t="s">
        <v>140</v>
      </c>
      <c r="F119" s="29">
        <f>F79-F9-F20-F35-F47</f>
        <v>12584.678000000029</v>
      </c>
      <c r="Y119" s="327"/>
    </row>
    <row r="120" spans="2:25" ht="15" hidden="1">
      <c r="B120" s="242" t="s">
        <v>141</v>
      </c>
      <c r="F120" s="29">
        <f>F100-F95-F88-F89</f>
        <v>3010.46</v>
      </c>
      <c r="Y120" s="327"/>
    </row>
    <row r="121" ht="15" hidden="1">
      <c r="Y121" s="327"/>
    </row>
    <row r="122" spans="2:25" ht="18" hidden="1">
      <c r="B122" s="122" t="s">
        <v>136</v>
      </c>
      <c r="C122" s="43">
        <v>25000000</v>
      </c>
      <c r="D122" s="43"/>
      <c r="E122" s="179">
        <v>72408.22</v>
      </c>
      <c r="F122" s="179">
        <v>18102.06</v>
      </c>
      <c r="G122" s="180">
        <v>20254.32</v>
      </c>
      <c r="H122" s="162">
        <f>G122-F122</f>
        <v>2152.2599999999984</v>
      </c>
      <c r="I122" s="164">
        <f>G122/F122*100</f>
        <v>111.88958604711286</v>
      </c>
      <c r="J122" s="167">
        <f>G122-E122</f>
        <v>-52153.9</v>
      </c>
      <c r="K122" s="167">
        <f>G122/E122*100</f>
        <v>27.972404238082362</v>
      </c>
      <c r="L122" s="167"/>
      <c r="M122" s="167"/>
      <c r="N122" s="167"/>
      <c r="O122" s="167"/>
      <c r="P122" s="167"/>
      <c r="Q122" s="208"/>
      <c r="R122" s="167"/>
      <c r="S122" s="167"/>
      <c r="T122" s="250"/>
      <c r="U122" s="248"/>
      <c r="V122" s="248"/>
      <c r="W122" s="249"/>
      <c r="X122" s="249"/>
      <c r="Y122" s="327"/>
    </row>
    <row r="123" spans="2:25" ht="23.25" customHeight="1" hidden="1">
      <c r="B123" s="14" t="s">
        <v>31</v>
      </c>
      <c r="C123" s="66"/>
      <c r="D123" s="66"/>
      <c r="E123" s="190">
        <f>E100+E122</f>
        <v>124993.633</v>
      </c>
      <c r="F123" s="190">
        <f>F100+F122</f>
        <v>25752.699</v>
      </c>
      <c r="G123" s="190">
        <f>G100+G122</f>
        <v>21845.54</v>
      </c>
      <c r="H123" s="191">
        <f>G123-F123</f>
        <v>-3907.1589999999997</v>
      </c>
      <c r="I123" s="192">
        <f>G123/F123*100</f>
        <v>84.82815723509214</v>
      </c>
      <c r="J123" s="193">
        <f>G123-E123</f>
        <v>-103148.093</v>
      </c>
      <c r="K123" s="193">
        <f>G123/E123*100</f>
        <v>17.477322224884848</v>
      </c>
      <c r="L123" s="193"/>
      <c r="M123" s="193"/>
      <c r="N123" s="193"/>
      <c r="O123" s="193"/>
      <c r="P123" s="193"/>
      <c r="Q123" s="220"/>
      <c r="R123" s="193">
        <v>3039.87</v>
      </c>
      <c r="S123" s="193">
        <f>G123-R123</f>
        <v>18805.670000000002</v>
      </c>
      <c r="T123" s="251">
        <f>G123/R123</f>
        <v>7.1863402053377285</v>
      </c>
      <c r="U123" s="252"/>
      <c r="V123" s="252"/>
      <c r="W123" s="253"/>
      <c r="X123" s="253"/>
      <c r="Y123" s="327"/>
    </row>
    <row r="124" spans="2:25" ht="17.25" hidden="1">
      <c r="B124" s="21" t="s">
        <v>145</v>
      </c>
      <c r="C124" s="66"/>
      <c r="D124" s="66"/>
      <c r="E124" s="190">
        <f>E123+E79</f>
        <v>1752911.3329999999</v>
      </c>
      <c r="F124" s="190">
        <f>F123+F79</f>
        <v>262156.356</v>
      </c>
      <c r="G124" s="190">
        <f>G123+G79</f>
        <v>184048.58000000002</v>
      </c>
      <c r="H124" s="191">
        <f>G124-F124</f>
        <v>-78107.77600000001</v>
      </c>
      <c r="I124" s="192">
        <f>G124/F124*100</f>
        <v>70.20565238555574</v>
      </c>
      <c r="J124" s="193">
        <f>G124-E124</f>
        <v>-1568862.7529999998</v>
      </c>
      <c r="K124" s="193">
        <f>G124/E124*100</f>
        <v>10.49959439106439</v>
      </c>
      <c r="L124" s="193"/>
      <c r="M124" s="193"/>
      <c r="N124" s="193"/>
      <c r="O124" s="193"/>
      <c r="P124" s="193"/>
      <c r="Q124" s="220"/>
      <c r="R124" s="193">
        <f>R101+R123</f>
        <v>206683.27</v>
      </c>
      <c r="S124" s="193">
        <f>G124-R124</f>
        <v>-22634.689999999973</v>
      </c>
      <c r="T124" s="251">
        <f>G124/R124</f>
        <v>0.8904861046566567</v>
      </c>
      <c r="U124" s="254"/>
      <c r="V124" s="254"/>
      <c r="W124" s="253"/>
      <c r="X124" s="253"/>
      <c r="Y124" s="327"/>
    </row>
    <row r="125" spans="2:25" ht="15" hidden="1">
      <c r="B125" s="238" t="s">
        <v>147</v>
      </c>
      <c r="C125" s="236">
        <v>40000000</v>
      </c>
      <c r="D125" s="236"/>
      <c r="E125" s="241" t="e">
        <f>#N/A</f>
        <v>#N/A</v>
      </c>
      <c r="F125" s="241" t="e">
        <f>#N/A</f>
        <v>#N/A</v>
      </c>
      <c r="G125" s="241" t="e">
        <f>#N/A</f>
        <v>#N/A</v>
      </c>
      <c r="H125" s="241" t="e">
        <f>#N/A</f>
        <v>#N/A</v>
      </c>
      <c r="I125" s="241" t="e">
        <f>G125/F125*100</f>
        <v>#N/A</v>
      </c>
      <c r="J125" s="36" t="e">
        <f>#N/A</f>
        <v>#N/A</v>
      </c>
      <c r="K125" s="36" t="e">
        <f>G125/E125*100</f>
        <v>#N/A</v>
      </c>
      <c r="L125" s="278"/>
      <c r="M125" s="278"/>
      <c r="N125" s="278"/>
      <c r="O125" s="278"/>
      <c r="P125" s="278"/>
      <c r="Q125" s="311"/>
      <c r="X125" s="89"/>
      <c r="Y125" s="327"/>
    </row>
    <row r="126" spans="2:25" ht="26.25" hidden="1">
      <c r="B126" s="237" t="s">
        <v>138</v>
      </c>
      <c r="C126" s="236">
        <v>41033900</v>
      </c>
      <c r="D126" s="236"/>
      <c r="E126" s="241">
        <v>243334.5</v>
      </c>
      <c r="F126" s="241">
        <v>56191.6</v>
      </c>
      <c r="G126" s="241">
        <v>56191.6</v>
      </c>
      <c r="H126" s="241" t="e">
        <f>#N/A</f>
        <v>#N/A</v>
      </c>
      <c r="I126" s="241" t="e">
        <f>#N/A</f>
        <v>#N/A</v>
      </c>
      <c r="J126" s="36" t="e">
        <f>#N/A</f>
        <v>#N/A</v>
      </c>
      <c r="K126" s="36" t="e">
        <f>#N/A</f>
        <v>#N/A</v>
      </c>
      <c r="L126" s="278"/>
      <c r="M126" s="278"/>
      <c r="N126" s="278"/>
      <c r="O126" s="278"/>
      <c r="P126" s="278"/>
      <c r="Q126" s="311"/>
      <c r="X126" s="89"/>
      <c r="Y126" s="327"/>
    </row>
    <row r="127" spans="2:25" ht="26.25" hidden="1">
      <c r="B127" s="237" t="s">
        <v>139</v>
      </c>
      <c r="C127" s="236">
        <v>41034200</v>
      </c>
      <c r="D127" s="236"/>
      <c r="E127" s="241">
        <v>238249.5</v>
      </c>
      <c r="F127" s="241">
        <v>59541.9</v>
      </c>
      <c r="G127" s="241">
        <v>59541.9</v>
      </c>
      <c r="H127" s="241" t="e">
        <f>#N/A</f>
        <v>#N/A</v>
      </c>
      <c r="I127" s="241" t="e">
        <f>#N/A</f>
        <v>#N/A</v>
      </c>
      <c r="J127" s="36" t="e">
        <f>#N/A</f>
        <v>#N/A</v>
      </c>
      <c r="K127" s="36" t="e">
        <f>#N/A</f>
        <v>#N/A</v>
      </c>
      <c r="L127" s="278"/>
      <c r="M127" s="278"/>
      <c r="N127" s="278"/>
      <c r="O127" s="278"/>
      <c r="P127" s="278"/>
      <c r="Q127" s="311"/>
      <c r="X127" s="89"/>
      <c r="Y127" s="327"/>
    </row>
    <row r="128" spans="2:25" s="239" customFormat="1" ht="25.5" customHeight="1" hidden="1">
      <c r="B128" s="255" t="s">
        <v>137</v>
      </c>
      <c r="C128" s="256"/>
      <c r="D128" s="256"/>
      <c r="E128" s="257" t="e">
        <f>E124+E125</f>
        <v>#N/A</v>
      </c>
      <c r="F128" s="257" t="e">
        <f>F124+F125</f>
        <v>#N/A</v>
      </c>
      <c r="G128" s="257" t="e">
        <f>G124+G125</f>
        <v>#N/A</v>
      </c>
      <c r="H128" s="258" t="e">
        <f>#N/A</f>
        <v>#N/A</v>
      </c>
      <c r="I128" s="257" t="e">
        <f>#N/A</f>
        <v>#N/A</v>
      </c>
      <c r="J128" s="259" t="e">
        <f>#N/A</f>
        <v>#N/A</v>
      </c>
      <c r="K128" s="259" t="e">
        <f>#N/A</f>
        <v>#N/A</v>
      </c>
      <c r="L128" s="279"/>
      <c r="M128" s="279"/>
      <c r="N128" s="279"/>
      <c r="O128" s="279"/>
      <c r="P128" s="279"/>
      <c r="Q128" s="312"/>
      <c r="X128" s="240"/>
      <c r="Y128" s="327"/>
    </row>
    <row r="129" ht="15" hidden="1">
      <c r="Y129" s="327"/>
    </row>
    <row r="130" ht="15" hidden="1">
      <c r="Y130" s="327"/>
    </row>
    <row r="131" ht="15" hidden="1">
      <c r="Y131" s="327"/>
    </row>
    <row r="132" ht="15" hidden="1">
      <c r="Y132" s="327"/>
    </row>
    <row r="133" ht="15" hidden="1">
      <c r="Y133" s="327"/>
    </row>
    <row r="134" ht="15" hidden="1">
      <c r="Y134" s="327"/>
    </row>
    <row r="135" spans="2:25" ht="15" hidden="1">
      <c r="B135" s="324" t="s">
        <v>173</v>
      </c>
      <c r="Y135" s="327"/>
    </row>
    <row r="136" spans="1:25" s="6" customFormat="1" ht="30.75" customHeight="1" hidden="1">
      <c r="A136" s="8"/>
      <c r="B136" s="315" t="str">
        <f>B17</f>
        <v>Рентна плата за спеціальне використання лісових ресурсів</v>
      </c>
      <c r="C136" s="360">
        <f>C17</f>
        <v>13010200</v>
      </c>
      <c r="D136" s="360"/>
      <c r="E136" s="376">
        <f aca="true" t="shared" si="36" ref="E136:T137">E17</f>
        <v>0</v>
      </c>
      <c r="F136" s="376">
        <f t="shared" si="36"/>
        <v>0</v>
      </c>
      <c r="G136" s="378">
        <f t="shared" si="36"/>
        <v>0</v>
      </c>
      <c r="H136" s="376">
        <f t="shared" si="36"/>
        <v>0</v>
      </c>
      <c r="I136" s="387">
        <f t="shared" si="36"/>
        <v>0</v>
      </c>
      <c r="J136" s="386">
        <f t="shared" si="36"/>
        <v>0</v>
      </c>
      <c r="K136" s="387">
        <f t="shared" si="36"/>
        <v>0</v>
      </c>
      <c r="L136" s="224">
        <f t="shared" si="36"/>
        <v>0</v>
      </c>
      <c r="M136" s="224">
        <f t="shared" si="36"/>
        <v>0</v>
      </c>
      <c r="N136" s="224">
        <f t="shared" si="36"/>
        <v>0</v>
      </c>
      <c r="O136" s="386">
        <f t="shared" si="36"/>
        <v>0.49</v>
      </c>
      <c r="P136" s="386">
        <f t="shared" si="36"/>
        <v>-0.49</v>
      </c>
      <c r="Q136" s="387">
        <f t="shared" si="36"/>
        <v>0</v>
      </c>
      <c r="R136" s="386">
        <f t="shared" si="36"/>
        <v>0</v>
      </c>
      <c r="S136" s="385">
        <f t="shared" si="36"/>
        <v>0</v>
      </c>
      <c r="T136" s="387" t="e">
        <f t="shared" si="36"/>
        <v>#DIV/0!</v>
      </c>
      <c r="U136" s="363"/>
      <c r="V136" s="363"/>
      <c r="W136" s="363"/>
      <c r="X136" s="363"/>
      <c r="Y136" s="327" t="e">
        <f aca="true" t="shared" si="37" ref="Y136:Y145">T136-Q136</f>
        <v>#DIV/0!</v>
      </c>
    </row>
    <row r="137" spans="1:25" s="6" customFormat="1" ht="30.75" hidden="1">
      <c r="A137" s="8"/>
      <c r="B137" s="316" t="str">
        <f>B18</f>
        <v>Рентна плата за користування надрами для видобування корисних копалин місцевого значення</v>
      </c>
      <c r="C137" s="360">
        <f>C18</f>
        <v>13030200</v>
      </c>
      <c r="D137" s="360"/>
      <c r="E137" s="376">
        <f t="shared" si="36"/>
        <v>235.6</v>
      </c>
      <c r="F137" s="376">
        <f t="shared" si="36"/>
        <v>120</v>
      </c>
      <c r="G137" s="378">
        <f t="shared" si="36"/>
        <v>194.24</v>
      </c>
      <c r="H137" s="376">
        <f t="shared" si="36"/>
        <v>74.24000000000001</v>
      </c>
      <c r="I137" s="387">
        <f t="shared" si="36"/>
        <v>1.6186666666666667</v>
      </c>
      <c r="J137" s="376">
        <f t="shared" si="36"/>
        <v>-41.359999999999985</v>
      </c>
      <c r="K137" s="387">
        <f t="shared" si="36"/>
        <v>82.44482173174873</v>
      </c>
      <c r="L137" s="130">
        <f t="shared" si="36"/>
        <v>0</v>
      </c>
      <c r="M137" s="130">
        <f t="shared" si="36"/>
        <v>0</v>
      </c>
      <c r="N137" s="130">
        <f t="shared" si="36"/>
        <v>0</v>
      </c>
      <c r="O137" s="386">
        <f t="shared" si="36"/>
        <v>220.59</v>
      </c>
      <c r="P137" s="386">
        <f t="shared" si="36"/>
        <v>15.009999999999991</v>
      </c>
      <c r="Q137" s="387">
        <f t="shared" si="36"/>
        <v>1.0680447889750215</v>
      </c>
      <c r="R137" s="386">
        <f t="shared" si="36"/>
        <v>0</v>
      </c>
      <c r="S137" s="385">
        <f t="shared" si="36"/>
        <v>194.24</v>
      </c>
      <c r="T137" s="387" t="e">
        <f t="shared" si="36"/>
        <v>#DIV/0!</v>
      </c>
      <c r="U137" s="364"/>
      <c r="V137" s="364"/>
      <c r="W137" s="364"/>
      <c r="X137" s="364"/>
      <c r="Y137" s="327" t="e">
        <f t="shared" si="37"/>
        <v>#DIV/0!</v>
      </c>
    </row>
    <row r="138" spans="1:25" s="6" customFormat="1" ht="15" hidden="1">
      <c r="A138" s="8"/>
      <c r="B138" s="317" t="str">
        <f aca="true" t="shared" si="38" ref="B138:T141">B56</f>
        <v>Інші надходження (по актам ДФІУ)</v>
      </c>
      <c r="C138" s="361">
        <f t="shared" si="38"/>
        <v>21080500</v>
      </c>
      <c r="D138" s="361"/>
      <c r="E138" s="379">
        <f t="shared" si="38"/>
        <v>158</v>
      </c>
      <c r="F138" s="379">
        <f t="shared" si="38"/>
        <v>14</v>
      </c>
      <c r="G138" s="380">
        <f t="shared" si="38"/>
        <v>1.44</v>
      </c>
      <c r="H138" s="379">
        <f t="shared" si="38"/>
        <v>-12.56</v>
      </c>
      <c r="I138" s="388">
        <f t="shared" si="38"/>
        <v>0.10285714285714286</v>
      </c>
      <c r="J138" s="385">
        <f t="shared" si="38"/>
        <v>-156.56</v>
      </c>
      <c r="K138" s="388">
        <f t="shared" si="38"/>
        <v>0.009113924050632912</v>
      </c>
      <c r="L138" s="129">
        <f t="shared" si="38"/>
        <v>0</v>
      </c>
      <c r="M138" s="129">
        <f t="shared" si="38"/>
        <v>0</v>
      </c>
      <c r="N138" s="129">
        <f t="shared" si="38"/>
        <v>0</v>
      </c>
      <c r="O138" s="385">
        <f t="shared" si="38"/>
        <v>153.3</v>
      </c>
      <c r="P138" s="385">
        <f t="shared" si="38"/>
        <v>4.699999999999989</v>
      </c>
      <c r="Q138" s="388">
        <f t="shared" si="38"/>
        <v>1.030658838878017</v>
      </c>
      <c r="R138" s="385">
        <f t="shared" si="38"/>
        <v>57.08</v>
      </c>
      <c r="S138" s="385">
        <f t="shared" si="38"/>
        <v>-55.64</v>
      </c>
      <c r="T138" s="387">
        <f t="shared" si="38"/>
        <v>0.025227750525578137</v>
      </c>
      <c r="U138" s="363"/>
      <c r="V138" s="363"/>
      <c r="W138" s="363"/>
      <c r="X138" s="363"/>
      <c r="Y138" s="327">
        <f t="shared" si="37"/>
        <v>-1.0054310883524387</v>
      </c>
    </row>
    <row r="139" spans="1:25" s="6" customFormat="1" ht="30.75" hidden="1">
      <c r="A139" s="8"/>
      <c r="B139" s="318" t="str">
        <f t="shared" si="38"/>
        <v>Штрафні санкції за порушення законодавства про патентування</v>
      </c>
      <c r="C139" s="362">
        <f t="shared" si="38"/>
        <v>21080900</v>
      </c>
      <c r="D139" s="362"/>
      <c r="E139" s="381">
        <f t="shared" si="38"/>
        <v>13</v>
      </c>
      <c r="F139" s="381">
        <f t="shared" si="38"/>
        <v>3</v>
      </c>
      <c r="G139" s="382">
        <f t="shared" si="38"/>
        <v>2.02</v>
      </c>
      <c r="H139" s="381">
        <f t="shared" si="38"/>
        <v>-0.98</v>
      </c>
      <c r="I139" s="389">
        <f t="shared" si="38"/>
        <v>0.6733333333333333</v>
      </c>
      <c r="J139" s="381">
        <f t="shared" si="38"/>
        <v>-10.98</v>
      </c>
      <c r="K139" s="389">
        <f t="shared" si="38"/>
        <v>0.1553846153846154</v>
      </c>
      <c r="L139" s="235">
        <f t="shared" si="38"/>
        <v>0</v>
      </c>
      <c r="M139" s="235">
        <f t="shared" si="38"/>
        <v>0</v>
      </c>
      <c r="N139" s="235">
        <f t="shared" si="38"/>
        <v>0</v>
      </c>
      <c r="O139" s="390">
        <f t="shared" si="38"/>
        <v>12.95</v>
      </c>
      <c r="P139" s="390">
        <f t="shared" si="38"/>
        <v>0.05000000000000071</v>
      </c>
      <c r="Q139" s="389">
        <f t="shared" si="38"/>
        <v>1.0038610038610039</v>
      </c>
      <c r="R139" s="390">
        <f t="shared" si="38"/>
        <v>2.03</v>
      </c>
      <c r="S139" s="390">
        <f t="shared" si="38"/>
        <v>-0.009999999999999787</v>
      </c>
      <c r="T139" s="394">
        <f t="shared" si="38"/>
        <v>0</v>
      </c>
      <c r="U139" s="365"/>
      <c r="V139" s="365"/>
      <c r="W139" s="365"/>
      <c r="X139" s="365"/>
      <c r="Y139" s="327">
        <f t="shared" si="37"/>
        <v>-1.0038610038610039</v>
      </c>
    </row>
    <row r="140" spans="1:25" s="6" customFormat="1" ht="15" hidden="1">
      <c r="A140" s="8"/>
      <c r="B140" s="316" t="str">
        <f t="shared" si="38"/>
        <v>Адмінстративні штрафи та інші санкції</v>
      </c>
      <c r="C140" s="360">
        <f t="shared" si="38"/>
        <v>21081100</v>
      </c>
      <c r="D140" s="360"/>
      <c r="E140" s="376">
        <f t="shared" si="38"/>
        <v>744</v>
      </c>
      <c r="F140" s="376">
        <f t="shared" si="38"/>
        <v>88.43</v>
      </c>
      <c r="G140" s="378">
        <f t="shared" si="38"/>
        <v>33.84</v>
      </c>
      <c r="H140" s="376">
        <f t="shared" si="38"/>
        <v>-54.59</v>
      </c>
      <c r="I140" s="387">
        <f t="shared" si="38"/>
        <v>0.38267556259188057</v>
      </c>
      <c r="J140" s="376">
        <f t="shared" si="38"/>
        <v>-710.16</v>
      </c>
      <c r="K140" s="387">
        <f t="shared" si="38"/>
        <v>0.04548387096774194</v>
      </c>
      <c r="L140" s="130">
        <f t="shared" si="38"/>
        <v>0</v>
      </c>
      <c r="M140" s="130">
        <f t="shared" si="38"/>
        <v>0</v>
      </c>
      <c r="N140" s="130">
        <f t="shared" si="38"/>
        <v>0</v>
      </c>
      <c r="O140" s="386">
        <f t="shared" si="38"/>
        <v>705.31</v>
      </c>
      <c r="P140" s="386">
        <f t="shared" si="38"/>
        <v>38.690000000000055</v>
      </c>
      <c r="Q140" s="387">
        <f t="shared" si="38"/>
        <v>1.0548553118486907</v>
      </c>
      <c r="R140" s="386">
        <f t="shared" si="38"/>
        <v>82.08</v>
      </c>
      <c r="S140" s="385">
        <f t="shared" si="38"/>
        <v>-48.239999999999995</v>
      </c>
      <c r="T140" s="387">
        <f t="shared" si="38"/>
        <v>0.412280701754386</v>
      </c>
      <c r="U140" s="364"/>
      <c r="V140" s="364"/>
      <c r="W140" s="364"/>
      <c r="X140" s="364"/>
      <c r="Y140" s="327">
        <f t="shared" si="37"/>
        <v>-0.6425746100943047</v>
      </c>
    </row>
    <row r="141" spans="1:25" s="6" customFormat="1" ht="46.5" hidden="1">
      <c r="A141" s="8"/>
      <c r="B141" s="316" t="str">
        <f t="shared" si="38"/>
        <v>Адміністративні штрафи та штрафні санкції за порушення законодавства у сфері виробництва та обігу  алкогольних напоїв та тютюнових виробів</v>
      </c>
      <c r="C141" s="360">
        <f t="shared" si="38"/>
        <v>21081500</v>
      </c>
      <c r="D141" s="360"/>
      <c r="E141" s="376">
        <f t="shared" si="38"/>
        <v>115.5</v>
      </c>
      <c r="F141" s="376">
        <f t="shared" si="38"/>
        <v>10</v>
      </c>
      <c r="G141" s="378">
        <f t="shared" si="38"/>
        <v>-8.08</v>
      </c>
      <c r="H141" s="376">
        <f t="shared" si="38"/>
        <v>-18.08</v>
      </c>
      <c r="I141" s="387">
        <f t="shared" si="38"/>
        <v>-0.808</v>
      </c>
      <c r="J141" s="376">
        <f t="shared" si="38"/>
        <v>-123.58</v>
      </c>
      <c r="K141" s="387">
        <f t="shared" si="38"/>
        <v>-0.06995670995670995</v>
      </c>
      <c r="L141" s="130">
        <f t="shared" si="38"/>
        <v>0</v>
      </c>
      <c r="M141" s="130">
        <f t="shared" si="38"/>
        <v>0</v>
      </c>
      <c r="N141" s="130">
        <f t="shared" si="38"/>
        <v>0</v>
      </c>
      <c r="O141" s="386">
        <f t="shared" si="38"/>
        <v>114.3</v>
      </c>
      <c r="P141" s="386">
        <f t="shared" si="38"/>
        <v>1.2000000000000028</v>
      </c>
      <c r="Q141" s="387">
        <f t="shared" si="38"/>
        <v>1.010498687664042</v>
      </c>
      <c r="R141" s="386">
        <f t="shared" si="38"/>
        <v>0</v>
      </c>
      <c r="S141" s="385">
        <f t="shared" si="38"/>
        <v>-8.08</v>
      </c>
      <c r="T141" s="387" t="e">
        <f t="shared" si="38"/>
        <v>#DIV/0!</v>
      </c>
      <c r="U141" s="364"/>
      <c r="V141" s="364"/>
      <c r="W141" s="364"/>
      <c r="X141" s="364"/>
      <c r="Y141" s="327" t="e">
        <f t="shared" si="37"/>
        <v>#DIV/0!</v>
      </c>
    </row>
    <row r="142" spans="1:25" s="6" customFormat="1" ht="46.5" hidden="1">
      <c r="A142" s="8"/>
      <c r="B142" s="316" t="str">
        <f>B71</f>
        <v>Надходження сум кредиторської та депонентської заборгованості підприємств, організацій та установ, щодо яких минув строк позовної давності</v>
      </c>
      <c r="C142" s="360" t="str">
        <f>C71</f>
        <v>24030000</v>
      </c>
      <c r="D142" s="360"/>
      <c r="E142" s="376">
        <f aca="true" t="shared" si="39" ref="E142:T142">E71</f>
        <v>3</v>
      </c>
      <c r="F142" s="376">
        <f t="shared" si="39"/>
        <v>1.5</v>
      </c>
      <c r="G142" s="378">
        <f t="shared" si="39"/>
        <v>0</v>
      </c>
      <c r="H142" s="376">
        <f t="shared" si="39"/>
        <v>-1.5</v>
      </c>
      <c r="I142" s="387">
        <f t="shared" si="39"/>
        <v>0</v>
      </c>
      <c r="J142" s="376">
        <f t="shared" si="39"/>
        <v>-3</v>
      </c>
      <c r="K142" s="387">
        <f t="shared" si="39"/>
        <v>0</v>
      </c>
      <c r="L142" s="130">
        <f t="shared" si="39"/>
        <v>0</v>
      </c>
      <c r="M142" s="130">
        <f t="shared" si="39"/>
        <v>0</v>
      </c>
      <c r="N142" s="130">
        <f t="shared" si="39"/>
        <v>0</v>
      </c>
      <c r="O142" s="386">
        <f t="shared" si="39"/>
        <v>2.04</v>
      </c>
      <c r="P142" s="386">
        <f t="shared" si="39"/>
        <v>0.96</v>
      </c>
      <c r="Q142" s="387">
        <f t="shared" si="39"/>
        <v>1.4705882352941175</v>
      </c>
      <c r="R142" s="386">
        <f t="shared" si="39"/>
        <v>1.67</v>
      </c>
      <c r="S142" s="385">
        <f t="shared" si="39"/>
        <v>-1.67</v>
      </c>
      <c r="T142" s="387">
        <f t="shared" si="39"/>
        <v>0</v>
      </c>
      <c r="U142" s="364"/>
      <c r="V142" s="364"/>
      <c r="W142" s="364"/>
      <c r="X142" s="364"/>
      <c r="Y142" s="327">
        <f t="shared" si="37"/>
        <v>-1.4705882352941175</v>
      </c>
    </row>
    <row r="143" spans="1:25" s="6" customFormat="1" ht="15" hidden="1">
      <c r="A143" s="8"/>
      <c r="B143" s="322" t="str">
        <f>B77</f>
        <v>Надходження коштів від реалізації безхазяйного майна</v>
      </c>
      <c r="C143" s="360">
        <f>C77</f>
        <v>31010200</v>
      </c>
      <c r="D143" s="360"/>
      <c r="E143" s="383">
        <f aca="true" t="shared" si="40" ref="E143:T144">E77</f>
        <v>35</v>
      </c>
      <c r="F143" s="383">
        <f t="shared" si="40"/>
        <v>6.67</v>
      </c>
      <c r="G143" s="384">
        <f t="shared" si="40"/>
        <v>4.74</v>
      </c>
      <c r="H143" s="383">
        <f t="shared" si="40"/>
        <v>-1.9299999999999997</v>
      </c>
      <c r="I143" s="373">
        <f t="shared" si="40"/>
        <v>0.7106446776611695</v>
      </c>
      <c r="J143" s="383">
        <f t="shared" si="40"/>
        <v>-30.259999999999998</v>
      </c>
      <c r="K143" s="373">
        <f t="shared" si="40"/>
        <v>0.13542857142857143</v>
      </c>
      <c r="L143" s="131">
        <f t="shared" si="40"/>
        <v>0</v>
      </c>
      <c r="M143" s="131">
        <f t="shared" si="40"/>
        <v>0</v>
      </c>
      <c r="N143" s="131">
        <f t="shared" si="40"/>
        <v>0</v>
      </c>
      <c r="O143" s="391">
        <f t="shared" si="40"/>
        <v>34.22</v>
      </c>
      <c r="P143" s="391">
        <f t="shared" si="40"/>
        <v>0.7800000000000011</v>
      </c>
      <c r="Q143" s="373">
        <f t="shared" si="40"/>
        <v>1.0227936879018118</v>
      </c>
      <c r="R143" s="391">
        <f t="shared" si="40"/>
        <v>8.6</v>
      </c>
      <c r="S143" s="392">
        <f t="shared" si="40"/>
        <v>-3.8599999999999994</v>
      </c>
      <c r="T143" s="373">
        <f t="shared" si="40"/>
        <v>0.5511627906976745</v>
      </c>
      <c r="U143" s="366"/>
      <c r="V143" s="366"/>
      <c r="W143" s="366"/>
      <c r="X143" s="366"/>
      <c r="Y143" s="327">
        <f t="shared" si="37"/>
        <v>-0.4716308972041373</v>
      </c>
    </row>
    <row r="144" spans="1:25" s="6" customFormat="1" ht="30.75" hidden="1">
      <c r="A144" s="8"/>
      <c r="B144" s="322" t="str">
        <f>B78</f>
        <v>Надходження коштів від Держ фонду дорогоцінних металів та дорогоцінного каміння</v>
      </c>
      <c r="C144" s="360">
        <f>C78</f>
        <v>31020000</v>
      </c>
      <c r="D144" s="360"/>
      <c r="E144" s="383">
        <f t="shared" si="40"/>
        <v>0</v>
      </c>
      <c r="F144" s="383">
        <f t="shared" si="40"/>
        <v>0</v>
      </c>
      <c r="G144" s="384">
        <f t="shared" si="40"/>
        <v>0.11</v>
      </c>
      <c r="H144" s="383">
        <f t="shared" si="40"/>
        <v>0.11</v>
      </c>
      <c r="I144" s="373" t="e">
        <f t="shared" si="40"/>
        <v>#DIV/0!</v>
      </c>
      <c r="J144" s="383">
        <f t="shared" si="40"/>
        <v>0.11</v>
      </c>
      <c r="K144" s="373">
        <f t="shared" si="40"/>
        <v>0</v>
      </c>
      <c r="L144" s="131">
        <f t="shared" si="40"/>
        <v>0</v>
      </c>
      <c r="M144" s="131">
        <f t="shared" si="40"/>
        <v>0</v>
      </c>
      <c r="N144" s="131">
        <f t="shared" si="40"/>
        <v>0</v>
      </c>
      <c r="O144" s="391">
        <f t="shared" si="40"/>
        <v>-4.86</v>
      </c>
      <c r="P144" s="391">
        <f t="shared" si="40"/>
        <v>4.86</v>
      </c>
      <c r="Q144" s="373">
        <f t="shared" si="40"/>
        <v>0</v>
      </c>
      <c r="R144" s="391">
        <f t="shared" si="40"/>
        <v>-5.33</v>
      </c>
      <c r="S144" s="392">
        <f t="shared" si="40"/>
        <v>5.44</v>
      </c>
      <c r="T144" s="373">
        <f t="shared" si="40"/>
        <v>-0.020637898686679174</v>
      </c>
      <c r="U144" s="366"/>
      <c r="V144" s="366"/>
      <c r="W144" s="366"/>
      <c r="X144" s="366"/>
      <c r="Y144" s="327">
        <f t="shared" si="37"/>
        <v>-0.020637898686679174</v>
      </c>
    </row>
    <row r="145" spans="5:25" ht="15" hidden="1">
      <c r="E145" s="370">
        <f>E136+E137+E138+E139+E140+E141+E142+E143+E144</f>
        <v>1304.1</v>
      </c>
      <c r="F145" s="370">
        <f>F136+F137+F138+F139+F140+F141+F142+F143+F144</f>
        <v>243.6</v>
      </c>
      <c r="G145" s="371">
        <f>G136+G137+G138+G139+G140+G141+G142+G143+G144</f>
        <v>228.31000000000003</v>
      </c>
      <c r="H145" s="370">
        <f>G145-F145</f>
        <v>-15.289999999999964</v>
      </c>
      <c r="I145" s="304">
        <f>G145/F145</f>
        <v>0.937233169129721</v>
      </c>
      <c r="J145" s="370">
        <f>G145-E145</f>
        <v>-1075.79</v>
      </c>
      <c r="K145" s="304">
        <f>G145/E145</f>
        <v>0.17507093014339395</v>
      </c>
      <c r="L145" s="90"/>
      <c r="M145" s="90"/>
      <c r="N145" s="90"/>
      <c r="O145" s="370">
        <f>O136+O137+O138+O139+O140+O141+O142+O143+O144</f>
        <v>1238.34</v>
      </c>
      <c r="P145" s="370">
        <f>E145-O145</f>
        <v>65.75999999999999</v>
      </c>
      <c r="Q145" s="304">
        <f>E145/O145</f>
        <v>1.053103348030428</v>
      </c>
      <c r="R145" s="370">
        <f>R136+R137+R138+R139+R140+R141+R142+R143+R144</f>
        <v>146.12999999999997</v>
      </c>
      <c r="S145" s="370">
        <f>G145-R145</f>
        <v>82.18000000000006</v>
      </c>
      <c r="T145" s="393">
        <f>G145/R145</f>
        <v>1.5623759666050783</v>
      </c>
      <c r="U145" s="367"/>
      <c r="V145" s="367"/>
      <c r="W145" s="367"/>
      <c r="X145" s="367"/>
      <c r="Y145" s="330">
        <f t="shared" si="37"/>
        <v>0.5092726185746503</v>
      </c>
    </row>
    <row r="146" spans="20:25" ht="15" hidden="1">
      <c r="T146" s="69"/>
      <c r="U146" s="367"/>
      <c r="V146" s="367"/>
      <c r="W146" s="367"/>
      <c r="X146" s="367"/>
      <c r="Y146" s="327"/>
    </row>
    <row r="147" spans="2:25" ht="15" hidden="1">
      <c r="B147" s="260" t="s">
        <v>156</v>
      </c>
      <c r="T147" s="69"/>
      <c r="U147" s="367"/>
      <c r="V147" s="367"/>
      <c r="W147" s="367"/>
      <c r="X147" s="367"/>
      <c r="Y147" s="327"/>
    </row>
    <row r="148" spans="1:25" s="6" customFormat="1" ht="30.75" hidden="1">
      <c r="A148" s="8"/>
      <c r="B148" s="314" t="str">
        <f aca="true" t="shared" si="41" ref="B148:T152">B60</f>
        <v>Адміністративний збір за проведення державної реєстрації юридичних осіб та фізичних осіб - підпр</v>
      </c>
      <c r="C148" s="357">
        <f t="shared" si="41"/>
        <v>22010300</v>
      </c>
      <c r="D148" s="357"/>
      <c r="E148" s="376">
        <f t="shared" si="41"/>
        <v>1284</v>
      </c>
      <c r="F148" s="376">
        <f t="shared" si="41"/>
        <v>184</v>
      </c>
      <c r="G148" s="378">
        <f t="shared" si="41"/>
        <v>135.35</v>
      </c>
      <c r="H148" s="376">
        <f t="shared" si="41"/>
        <v>-48.650000000000006</v>
      </c>
      <c r="I148" s="374">
        <f t="shared" si="41"/>
        <v>0.7355978260869565</v>
      </c>
      <c r="J148" s="376">
        <f t="shared" si="41"/>
        <v>-1148.65</v>
      </c>
      <c r="K148" s="374">
        <f t="shared" si="41"/>
        <v>0.10541277258566978</v>
      </c>
      <c r="L148" s="130">
        <f t="shared" si="41"/>
        <v>0</v>
      </c>
      <c r="M148" s="130">
        <f t="shared" si="41"/>
        <v>0</v>
      </c>
      <c r="N148" s="130">
        <f t="shared" si="41"/>
        <v>0</v>
      </c>
      <c r="O148" s="376">
        <f t="shared" si="41"/>
        <v>1205.14</v>
      </c>
      <c r="P148" s="376">
        <f t="shared" si="41"/>
        <v>78.8599999999999</v>
      </c>
      <c r="Q148" s="374">
        <f t="shared" si="41"/>
        <v>1.0654363808354215</v>
      </c>
      <c r="R148" s="376">
        <f t="shared" si="41"/>
        <v>192.39</v>
      </c>
      <c r="S148" s="379">
        <f t="shared" si="41"/>
        <v>-57.03999999999999</v>
      </c>
      <c r="T148" s="374">
        <f t="shared" si="41"/>
        <v>0.703518893913405</v>
      </c>
      <c r="U148" s="364"/>
      <c r="V148" s="364"/>
      <c r="W148" s="364"/>
      <c r="X148" s="364"/>
      <c r="Y148" s="327">
        <f aca="true" t="shared" si="42" ref="Y148:Y153">T148-Q148</f>
        <v>-0.3619174869220164</v>
      </c>
    </row>
    <row r="149" spans="1:25" s="6" customFormat="1" ht="15" hidden="1">
      <c r="A149" s="8"/>
      <c r="B149" s="314" t="str">
        <f t="shared" si="41"/>
        <v>Плата за сертифікати</v>
      </c>
      <c r="C149" s="357">
        <f t="shared" si="41"/>
        <v>22010200</v>
      </c>
      <c r="D149" s="357"/>
      <c r="E149" s="376">
        <f t="shared" si="41"/>
        <v>0</v>
      </c>
      <c r="F149" s="376">
        <f t="shared" si="41"/>
        <v>0</v>
      </c>
      <c r="G149" s="378">
        <f t="shared" si="41"/>
        <v>0</v>
      </c>
      <c r="H149" s="376">
        <f t="shared" si="41"/>
        <v>0</v>
      </c>
      <c r="I149" s="374" t="e">
        <f t="shared" si="41"/>
        <v>#DIV/0!</v>
      </c>
      <c r="J149" s="376">
        <f t="shared" si="41"/>
        <v>0</v>
      </c>
      <c r="K149" s="374" t="e">
        <f t="shared" si="41"/>
        <v>#DIV/0!</v>
      </c>
      <c r="L149" s="130">
        <f t="shared" si="41"/>
        <v>0</v>
      </c>
      <c r="M149" s="130">
        <f t="shared" si="41"/>
        <v>0</v>
      </c>
      <c r="N149" s="130">
        <f t="shared" si="41"/>
        <v>0</v>
      </c>
      <c r="O149" s="376">
        <f t="shared" si="41"/>
        <v>23.38</v>
      </c>
      <c r="P149" s="376">
        <f t="shared" si="41"/>
        <v>-23.38</v>
      </c>
      <c r="Q149" s="374">
        <f t="shared" si="41"/>
        <v>0</v>
      </c>
      <c r="R149" s="376">
        <f t="shared" si="41"/>
        <v>0</v>
      </c>
      <c r="S149" s="379">
        <f t="shared" si="41"/>
        <v>0</v>
      </c>
      <c r="T149" s="374">
        <f t="shared" si="41"/>
        <v>0</v>
      </c>
      <c r="U149" s="364"/>
      <c r="V149" s="364"/>
      <c r="W149" s="364"/>
      <c r="X149" s="364"/>
      <c r="Y149" s="327">
        <f t="shared" si="42"/>
        <v>0</v>
      </c>
    </row>
    <row r="150" spans="1:25" s="6" customFormat="1" ht="15" hidden="1">
      <c r="A150" s="8"/>
      <c r="B150" s="320" t="str">
        <f t="shared" si="41"/>
        <v>Плата за надання інших адміністративних послуг</v>
      </c>
      <c r="C150" s="358">
        <f t="shared" si="41"/>
        <v>22012500</v>
      </c>
      <c r="D150" s="358"/>
      <c r="E150" s="377">
        <f t="shared" si="41"/>
        <v>21260</v>
      </c>
      <c r="F150" s="377">
        <f t="shared" si="41"/>
        <v>3690</v>
      </c>
      <c r="G150" s="395">
        <f t="shared" si="41"/>
        <v>2878.95</v>
      </c>
      <c r="H150" s="377">
        <f t="shared" si="41"/>
        <v>-811.0500000000002</v>
      </c>
      <c r="I150" s="375">
        <f t="shared" si="41"/>
        <v>0.7802032520325203</v>
      </c>
      <c r="J150" s="377">
        <f t="shared" si="41"/>
        <v>-18381.05</v>
      </c>
      <c r="K150" s="375">
        <f t="shared" si="41"/>
        <v>0.1354162746942615</v>
      </c>
      <c r="L150" s="33">
        <f t="shared" si="41"/>
        <v>0</v>
      </c>
      <c r="M150" s="33">
        <f t="shared" si="41"/>
        <v>0</v>
      </c>
      <c r="N150" s="33">
        <f t="shared" si="41"/>
        <v>0</v>
      </c>
      <c r="O150" s="377">
        <f t="shared" si="41"/>
        <v>20110.14</v>
      </c>
      <c r="P150" s="377">
        <f t="shared" si="41"/>
        <v>1149.8600000000006</v>
      </c>
      <c r="Q150" s="375">
        <f t="shared" si="41"/>
        <v>1.0571781200926498</v>
      </c>
      <c r="R150" s="377">
        <f t="shared" si="41"/>
        <v>2143.72</v>
      </c>
      <c r="S150" s="396">
        <f t="shared" si="41"/>
        <v>735.23</v>
      </c>
      <c r="T150" s="375">
        <f t="shared" si="41"/>
        <v>1.3429692310562946</v>
      </c>
      <c r="U150" s="368"/>
      <c r="V150" s="368"/>
      <c r="W150" s="368"/>
      <c r="X150" s="368"/>
      <c r="Y150" s="327">
        <f t="shared" si="42"/>
        <v>0.28579111096364485</v>
      </c>
    </row>
    <row r="151" spans="1:25" s="6" customFormat="1" ht="30.75" hidden="1">
      <c r="A151" s="8"/>
      <c r="B151" s="320" t="str">
        <f t="shared" si="41"/>
        <v>Адміністративний збір за державну реєстрацію речових прав на нерухоме майно та їх обтяжень</v>
      </c>
      <c r="C151" s="358">
        <f t="shared" si="41"/>
        <v>22012600</v>
      </c>
      <c r="D151" s="358"/>
      <c r="E151" s="377">
        <f t="shared" si="41"/>
        <v>767</v>
      </c>
      <c r="F151" s="377">
        <f t="shared" si="41"/>
        <v>121</v>
      </c>
      <c r="G151" s="395">
        <f t="shared" si="41"/>
        <v>81.45</v>
      </c>
      <c r="H151" s="377">
        <f t="shared" si="41"/>
        <v>-39.55</v>
      </c>
      <c r="I151" s="375">
        <f t="shared" si="41"/>
        <v>0.6731404958677686</v>
      </c>
      <c r="J151" s="377">
        <f t="shared" si="41"/>
        <v>-685.55</v>
      </c>
      <c r="K151" s="375">
        <f t="shared" si="41"/>
        <v>0.1061929595827901</v>
      </c>
      <c r="L151" s="33">
        <f t="shared" si="41"/>
        <v>0</v>
      </c>
      <c r="M151" s="33">
        <f t="shared" si="41"/>
        <v>0</v>
      </c>
      <c r="N151" s="33">
        <f t="shared" si="41"/>
        <v>0</v>
      </c>
      <c r="O151" s="377">
        <f t="shared" si="41"/>
        <v>710.04</v>
      </c>
      <c r="P151" s="377">
        <f t="shared" si="41"/>
        <v>56.960000000000036</v>
      </c>
      <c r="Q151" s="375">
        <f t="shared" si="41"/>
        <v>1.0802208326291478</v>
      </c>
      <c r="R151" s="377">
        <f t="shared" si="41"/>
        <v>90.44</v>
      </c>
      <c r="S151" s="396">
        <f t="shared" si="41"/>
        <v>-8.989999999999995</v>
      </c>
      <c r="T151" s="375">
        <f t="shared" si="41"/>
        <v>0.9005970809376382</v>
      </c>
      <c r="U151" s="368"/>
      <c r="V151" s="368"/>
      <c r="W151" s="368"/>
      <c r="X151" s="368"/>
      <c r="Y151" s="327">
        <f t="shared" si="42"/>
        <v>-0.17962375169150957</v>
      </c>
    </row>
    <row r="152" spans="1:25" s="6" customFormat="1" ht="30.75" hidden="1">
      <c r="A152" s="8"/>
      <c r="B152" s="320" t="str">
        <f t="shared" si="41"/>
        <v>Плата за скорочення термінів надання послуг у сфері державної реєстрації речових прав на нерухоме майно</v>
      </c>
      <c r="C152" s="358">
        <f t="shared" si="41"/>
        <v>22012900</v>
      </c>
      <c r="D152" s="358"/>
      <c r="E152" s="377">
        <f t="shared" si="41"/>
        <v>44</v>
      </c>
      <c r="F152" s="377">
        <f t="shared" si="41"/>
        <v>4</v>
      </c>
      <c r="G152" s="395">
        <f t="shared" si="41"/>
        <v>1.06</v>
      </c>
      <c r="H152" s="377">
        <f t="shared" si="41"/>
        <v>-2.94</v>
      </c>
      <c r="I152" s="375">
        <f t="shared" si="41"/>
        <v>0.265</v>
      </c>
      <c r="J152" s="377">
        <f t="shared" si="41"/>
        <v>-42.94</v>
      </c>
      <c r="K152" s="375">
        <f t="shared" si="41"/>
        <v>0.024090909090909093</v>
      </c>
      <c r="L152" s="33">
        <f t="shared" si="41"/>
        <v>0</v>
      </c>
      <c r="M152" s="33">
        <f t="shared" si="41"/>
        <v>0</v>
      </c>
      <c r="N152" s="33">
        <f t="shared" si="41"/>
        <v>0</v>
      </c>
      <c r="O152" s="377">
        <f t="shared" si="41"/>
        <v>41.44</v>
      </c>
      <c r="P152" s="377">
        <f t="shared" si="41"/>
        <v>2.5600000000000023</v>
      </c>
      <c r="Q152" s="375">
        <f t="shared" si="41"/>
        <v>1.0617760617760619</v>
      </c>
      <c r="R152" s="377">
        <f t="shared" si="41"/>
        <v>0</v>
      </c>
      <c r="S152" s="396">
        <f t="shared" si="41"/>
        <v>1.06</v>
      </c>
      <c r="T152" s="375" t="e">
        <f t="shared" si="41"/>
        <v>#DIV/0!</v>
      </c>
      <c r="U152" s="368"/>
      <c r="V152" s="368"/>
      <c r="W152" s="368"/>
      <c r="X152" s="368"/>
      <c r="Y152" s="327" t="e">
        <f t="shared" si="42"/>
        <v>#DIV/0!</v>
      </c>
    </row>
    <row r="153" spans="2:25" ht="15" hidden="1">
      <c r="B153" s="260" t="s">
        <v>156</v>
      </c>
      <c r="C153" s="400">
        <v>22010000</v>
      </c>
      <c r="D153" s="400"/>
      <c r="E153" s="370">
        <f>E148+E149+E150+E151+E152</f>
        <v>23355</v>
      </c>
      <c r="F153" s="370">
        <f>F148+F149+F150+F151+F152</f>
        <v>3999</v>
      </c>
      <c r="G153" s="371">
        <f>G148+G149+G150+G151+G152</f>
        <v>3096.8099999999995</v>
      </c>
      <c r="H153" s="370">
        <f>G153-F153</f>
        <v>-902.1900000000005</v>
      </c>
      <c r="I153" s="304">
        <f>G153/F153</f>
        <v>0.774396099024756</v>
      </c>
      <c r="J153" s="370">
        <f>G153-E153</f>
        <v>-20258.190000000002</v>
      </c>
      <c r="K153" s="304">
        <f>G153/E153</f>
        <v>0.13259730250481694</v>
      </c>
      <c r="L153" s="90"/>
      <c r="M153" s="90"/>
      <c r="N153" s="90"/>
      <c r="O153" s="370">
        <f>O148+O149+O150+O151+O152</f>
        <v>22090.14</v>
      </c>
      <c r="P153" s="370">
        <f>E153-O153</f>
        <v>1264.8600000000006</v>
      </c>
      <c r="Q153" s="304">
        <f>E153/O153</f>
        <v>1.0572590304995804</v>
      </c>
      <c r="R153" s="370">
        <f>R148+R149+R150+R151+R152</f>
        <v>2426.5499999999997</v>
      </c>
      <c r="S153" s="370">
        <f>G153-R153</f>
        <v>670.2599999999998</v>
      </c>
      <c r="T153" s="304">
        <f>G153/R153</f>
        <v>1.2762193237312234</v>
      </c>
      <c r="U153" s="367"/>
      <c r="V153" s="367"/>
      <c r="W153" s="367"/>
      <c r="X153" s="367"/>
      <c r="Y153" s="330">
        <f t="shared" si="42"/>
        <v>0.218960293231643</v>
      </c>
    </row>
    <row r="154" spans="21:25" ht="15" hidden="1">
      <c r="U154" s="367"/>
      <c r="V154" s="367"/>
      <c r="W154" s="367"/>
      <c r="X154" s="367"/>
      <c r="Y154" s="327"/>
    </row>
    <row r="155" spans="21:25" ht="15" hidden="1">
      <c r="U155" s="367"/>
      <c r="V155" s="367"/>
      <c r="W155" s="367"/>
      <c r="X155" s="367"/>
      <c r="Y155" s="327"/>
    </row>
    <row r="156" spans="2:25" ht="15" hidden="1">
      <c r="B156" s="260" t="s">
        <v>172</v>
      </c>
      <c r="U156" s="367"/>
      <c r="V156" s="367"/>
      <c r="W156" s="367"/>
      <c r="X156" s="367"/>
      <c r="Y156" s="327"/>
    </row>
    <row r="157" spans="1:25" s="6" customFormat="1" ht="15.75" customHeight="1" hidden="1">
      <c r="A157" s="8"/>
      <c r="B157" s="321" t="str">
        <f>B72</f>
        <v>Інші надходження</v>
      </c>
      <c r="C157" s="360" t="str">
        <f>C72</f>
        <v>24060300</v>
      </c>
      <c r="D157" s="360"/>
      <c r="E157" s="391">
        <f aca="true" t="shared" si="43" ref="E157:T157">E72</f>
        <v>8170</v>
      </c>
      <c r="F157" s="391">
        <f t="shared" si="43"/>
        <v>1248.65</v>
      </c>
      <c r="G157" s="397">
        <f t="shared" si="43"/>
        <v>794.8</v>
      </c>
      <c r="H157" s="391">
        <f t="shared" si="43"/>
        <v>-453.85000000000014</v>
      </c>
      <c r="I157" s="373">
        <f t="shared" si="43"/>
        <v>0.6365274496456171</v>
      </c>
      <c r="J157" s="391">
        <f t="shared" si="43"/>
        <v>-7375.2</v>
      </c>
      <c r="K157" s="373">
        <f t="shared" si="43"/>
        <v>0.09728274173806609</v>
      </c>
      <c r="L157" s="359">
        <f t="shared" si="43"/>
        <v>0</v>
      </c>
      <c r="M157" s="359">
        <f t="shared" si="43"/>
        <v>0</v>
      </c>
      <c r="N157" s="359">
        <f t="shared" si="43"/>
        <v>0</v>
      </c>
      <c r="O157" s="391">
        <f t="shared" si="43"/>
        <v>8086.92</v>
      </c>
      <c r="P157" s="391">
        <f t="shared" si="43"/>
        <v>83.07999999999993</v>
      </c>
      <c r="Q157" s="373">
        <f t="shared" si="43"/>
        <v>1.0102733797292418</v>
      </c>
      <c r="R157" s="391">
        <f t="shared" si="43"/>
        <v>2711.43</v>
      </c>
      <c r="S157" s="391">
        <f t="shared" si="43"/>
        <v>-1916.6299999999999</v>
      </c>
      <c r="T157" s="373">
        <f t="shared" si="43"/>
        <v>0.2931294556746809</v>
      </c>
      <c r="U157" s="369"/>
      <c r="V157" s="369"/>
      <c r="W157" s="369"/>
      <c r="X157" s="369"/>
      <c r="Y157" s="327">
        <f>T157-Q157</f>
        <v>-0.717143924054561</v>
      </c>
    </row>
    <row r="158" spans="1:25" s="6" customFormat="1" ht="44.25" customHeight="1" hidden="1">
      <c r="A158" s="8"/>
      <c r="B158" s="321" t="str">
        <f>B76</f>
        <v>Кошти, що надійдуть від надання учасниками торгів забезпечення їх тендерної пропозиції, які не підлягають поверненню учасникам торгів</v>
      </c>
      <c r="C158" s="360">
        <f>C76</f>
        <v>24061900</v>
      </c>
      <c r="D158" s="360"/>
      <c r="E158" s="391">
        <f aca="true" t="shared" si="44" ref="E158:T158">E76</f>
        <v>174.4</v>
      </c>
      <c r="F158" s="391">
        <f t="shared" si="44"/>
        <v>0</v>
      </c>
      <c r="G158" s="397">
        <f t="shared" si="44"/>
        <v>0</v>
      </c>
      <c r="H158" s="391">
        <f t="shared" si="44"/>
        <v>0</v>
      </c>
      <c r="I158" s="373" t="e">
        <f t="shared" si="44"/>
        <v>#DIV/0!</v>
      </c>
      <c r="J158" s="391">
        <f t="shared" si="44"/>
        <v>-174.4</v>
      </c>
      <c r="K158" s="373">
        <f t="shared" si="44"/>
        <v>0</v>
      </c>
      <c r="L158" s="359">
        <f t="shared" si="44"/>
        <v>0</v>
      </c>
      <c r="M158" s="359">
        <f t="shared" si="44"/>
        <v>0</v>
      </c>
      <c r="N158" s="359">
        <f t="shared" si="44"/>
        <v>0</v>
      </c>
      <c r="O158" s="391">
        <f t="shared" si="44"/>
        <v>142.18</v>
      </c>
      <c r="P158" s="391">
        <f t="shared" si="44"/>
        <v>32.22</v>
      </c>
      <c r="Q158" s="373">
        <f t="shared" si="44"/>
        <v>1.2266141510761006</v>
      </c>
      <c r="R158" s="391">
        <f t="shared" si="44"/>
        <v>32.89</v>
      </c>
      <c r="S158" s="391">
        <f t="shared" si="44"/>
        <v>-32.89</v>
      </c>
      <c r="T158" s="373">
        <f t="shared" si="44"/>
        <v>0</v>
      </c>
      <c r="U158" s="369"/>
      <c r="V158" s="369"/>
      <c r="W158" s="369"/>
      <c r="X158" s="369"/>
      <c r="Y158" s="327">
        <f>T158-Q158</f>
        <v>-1.2266141510761006</v>
      </c>
    </row>
    <row r="159" spans="2:25" ht="15" hidden="1">
      <c r="B159" s="260" t="s">
        <v>172</v>
      </c>
      <c r="C159" s="399">
        <v>24060000</v>
      </c>
      <c r="D159" s="407"/>
      <c r="E159" s="370">
        <f>E157+E158</f>
        <v>8344.4</v>
      </c>
      <c r="F159" s="370">
        <f>F157+F158</f>
        <v>1248.65</v>
      </c>
      <c r="G159" s="371">
        <f>G157+G158</f>
        <v>794.8</v>
      </c>
      <c r="H159" s="372">
        <f>G159-F159</f>
        <v>-453.85000000000014</v>
      </c>
      <c r="I159" s="304">
        <f>G159/F159</f>
        <v>0.6365274496456171</v>
      </c>
      <c r="J159" s="370">
        <f>G159-E159</f>
        <v>-7549.599999999999</v>
      </c>
      <c r="K159" s="304">
        <f>G159/E159</f>
        <v>0.09524950865250946</v>
      </c>
      <c r="L159" s="90"/>
      <c r="M159" s="90"/>
      <c r="N159" s="90"/>
      <c r="O159" s="370">
        <f>O157+O158</f>
        <v>8229.1</v>
      </c>
      <c r="P159" s="370">
        <f>E159-O159</f>
        <v>115.29999999999927</v>
      </c>
      <c r="Q159" s="304">
        <f>E159/O159</f>
        <v>1.0140112527493892</v>
      </c>
      <c r="R159" s="370">
        <f>R157+R158</f>
        <v>2744.3199999999997</v>
      </c>
      <c r="S159" s="370">
        <f>G159-R159</f>
        <v>-1949.5199999999998</v>
      </c>
      <c r="T159" s="304">
        <f>G159/R159</f>
        <v>0.28961637126865675</v>
      </c>
      <c r="U159" s="367"/>
      <c r="V159" s="367"/>
      <c r="W159" s="367"/>
      <c r="X159" s="367"/>
      <c r="Y159" s="330">
        <f>T159-Q159</f>
        <v>-0.7243948814807324</v>
      </c>
    </row>
    <row r="160" spans="21:24" ht="15" hidden="1">
      <c r="U160" s="367"/>
      <c r="V160" s="367"/>
      <c r="W160" s="367"/>
      <c r="X160" s="367"/>
    </row>
    <row r="161" spans="21:24" ht="15" hidden="1">
      <c r="U161" s="367"/>
      <c r="V161" s="367"/>
      <c r="W161" s="367"/>
      <c r="X161" s="367"/>
    </row>
    <row r="162" spans="21:24" ht="15" hidden="1">
      <c r="U162" s="367"/>
      <c r="V162" s="367"/>
      <c r="W162" s="367"/>
      <c r="X162" s="367"/>
    </row>
    <row r="163" spans="21:24" ht="15" hidden="1">
      <c r="U163" s="367"/>
      <c r="V163" s="367"/>
      <c r="W163" s="367"/>
      <c r="X163" s="367"/>
    </row>
    <row r="164" spans="21:24" ht="15" hidden="1">
      <c r="U164" s="367"/>
      <c r="V164" s="367"/>
      <c r="W164" s="367"/>
      <c r="X164" s="367"/>
    </row>
    <row r="165" spans="21:24" ht="15" hidden="1">
      <c r="U165" s="367"/>
      <c r="V165" s="367"/>
      <c r="W165" s="367"/>
      <c r="X165" s="367"/>
    </row>
    <row r="166" spans="21:24" ht="15">
      <c r="U166" s="367"/>
      <c r="V166" s="367"/>
      <c r="W166" s="367"/>
      <c r="X166" s="367"/>
    </row>
    <row r="167" spans="21:24" ht="15">
      <c r="U167" s="367"/>
      <c r="V167" s="367"/>
      <c r="W167" s="367"/>
      <c r="X167" s="367"/>
    </row>
    <row r="168" spans="21:24" ht="15">
      <c r="U168" s="367"/>
      <c r="V168" s="367"/>
      <c r="W168" s="367"/>
      <c r="X168" s="367"/>
    </row>
  </sheetData>
  <sheetProtection/>
  <mergeCells count="35"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V3:X3"/>
    <mergeCell ref="W4:W5"/>
    <mergeCell ref="X4:X5"/>
    <mergeCell ref="L5:N5"/>
    <mergeCell ref="O5:Q5"/>
    <mergeCell ref="R5:T5"/>
    <mergeCell ref="H104:K104"/>
    <mergeCell ref="H4:H5"/>
    <mergeCell ref="I4:I5"/>
    <mergeCell ref="J4:J5"/>
    <mergeCell ref="K4:K5"/>
    <mergeCell ref="V113:W113"/>
    <mergeCell ref="V105:W105"/>
    <mergeCell ref="H106:I106"/>
    <mergeCell ref="V106:W106"/>
    <mergeCell ref="H107:I107"/>
    <mergeCell ref="V107:W107"/>
    <mergeCell ref="H108:I108"/>
    <mergeCell ref="D3:D5"/>
    <mergeCell ref="B109:C109"/>
    <mergeCell ref="H109:I109"/>
    <mergeCell ref="H110:I110"/>
    <mergeCell ref="B111:C111"/>
    <mergeCell ref="H111:I111"/>
    <mergeCell ref="G4:G5"/>
    <mergeCell ref="F4:F5"/>
  </mergeCells>
  <printOptions/>
  <pageMargins left="0.31496062992125984" right="0" top="0" bottom="0" header="0" footer="0"/>
  <pageSetup fitToHeight="1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8"/>
  <sheetViews>
    <sheetView zoomScale="69" zoomScaleNormal="69" zoomScalePageLayoutView="0" workbookViewId="0" topLeftCell="B1">
      <pane xSplit="2" ySplit="8" topLeftCell="D2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47" sqref="B4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67" hidden="1" customWidth="1"/>
    <col min="5" max="5" width="14.50390625" style="4" customWidth="1"/>
    <col min="6" max="6" width="14.00390625" style="4" customWidth="1"/>
    <col min="7" max="7" width="13.875" style="113" customWidth="1"/>
    <col min="8" max="8" width="13.25390625" style="4" customWidth="1"/>
    <col min="9" max="9" width="11.5039062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229" customWidth="1"/>
    <col min="18" max="18" width="13.625" style="4" hidden="1" customWidth="1"/>
    <col min="19" max="19" width="12.25390625" style="4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277" hidden="1" customWidth="1"/>
    <col min="26" max="16384" width="9.125" style="4" customWidth="1"/>
  </cols>
  <sheetData>
    <row r="1" spans="1:25" s="1" customFormat="1" ht="26.25" customHeight="1">
      <c r="A1" s="464" t="s">
        <v>184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277"/>
    </row>
    <row r="2" spans="2:25" s="1" customFormat="1" ht="15.75" customHeight="1">
      <c r="B2" s="465"/>
      <c r="C2" s="465"/>
      <c r="D2" s="465"/>
      <c r="E2" s="465"/>
      <c r="F2" s="2"/>
      <c r="G2" s="112"/>
      <c r="H2" s="2"/>
      <c r="I2" s="2"/>
      <c r="K2" s="1" t="s">
        <v>24</v>
      </c>
      <c r="Q2" s="302"/>
      <c r="T2" s="1" t="s">
        <v>24</v>
      </c>
      <c r="X2" s="17" t="s">
        <v>24</v>
      </c>
      <c r="Y2" s="277"/>
    </row>
    <row r="3" spans="1:25" s="3" customFormat="1" ht="13.5" customHeight="1">
      <c r="A3" s="466"/>
      <c r="B3" s="468"/>
      <c r="C3" s="469" t="s">
        <v>0</v>
      </c>
      <c r="D3" s="477" t="s">
        <v>187</v>
      </c>
      <c r="E3" s="438" t="s">
        <v>187</v>
      </c>
      <c r="F3" s="32"/>
      <c r="G3" s="470" t="s">
        <v>26</v>
      </c>
      <c r="H3" s="471"/>
      <c r="I3" s="471"/>
      <c r="J3" s="471"/>
      <c r="K3" s="472"/>
      <c r="L3" s="83" t="s">
        <v>152</v>
      </c>
      <c r="M3" s="83"/>
      <c r="N3" s="83"/>
      <c r="O3" s="83" t="s">
        <v>152</v>
      </c>
      <c r="P3" s="83"/>
      <c r="Q3" s="303"/>
      <c r="R3" s="83"/>
      <c r="S3" s="83"/>
      <c r="T3" s="83"/>
      <c r="U3" s="473" t="s">
        <v>197</v>
      </c>
      <c r="V3" s="474" t="s">
        <v>180</v>
      </c>
      <c r="W3" s="474"/>
      <c r="X3" s="474"/>
      <c r="Y3" s="323"/>
    </row>
    <row r="4" spans="1:24" ht="22.5" customHeight="1">
      <c r="A4" s="466"/>
      <c r="B4" s="468"/>
      <c r="C4" s="469"/>
      <c r="D4" s="478"/>
      <c r="E4" s="438"/>
      <c r="F4" s="475" t="s">
        <v>195</v>
      </c>
      <c r="G4" s="458" t="s">
        <v>33</v>
      </c>
      <c r="H4" s="447" t="s">
        <v>178</v>
      </c>
      <c r="I4" s="460" t="s">
        <v>179</v>
      </c>
      <c r="J4" s="447" t="s">
        <v>188</v>
      </c>
      <c r="K4" s="460" t="s">
        <v>189</v>
      </c>
      <c r="L4" s="85" t="s">
        <v>153</v>
      </c>
      <c r="M4" s="203" t="s">
        <v>113</v>
      </c>
      <c r="N4" s="90" t="s">
        <v>63</v>
      </c>
      <c r="O4" s="85" t="s">
        <v>182</v>
      </c>
      <c r="P4" s="203" t="s">
        <v>113</v>
      </c>
      <c r="Q4" s="304" t="s">
        <v>63</v>
      </c>
      <c r="R4" s="85" t="s">
        <v>182</v>
      </c>
      <c r="S4" s="203" t="s">
        <v>113</v>
      </c>
      <c r="T4" s="90" t="s">
        <v>63</v>
      </c>
      <c r="U4" s="460"/>
      <c r="V4" s="462" t="s">
        <v>194</v>
      </c>
      <c r="W4" s="447" t="s">
        <v>49</v>
      </c>
      <c r="X4" s="449" t="s">
        <v>48</v>
      </c>
    </row>
    <row r="5" spans="1:24" ht="67.5" customHeight="1">
      <c r="A5" s="467"/>
      <c r="B5" s="468"/>
      <c r="C5" s="469"/>
      <c r="D5" s="479"/>
      <c r="E5" s="438"/>
      <c r="F5" s="476"/>
      <c r="G5" s="459"/>
      <c r="H5" s="448"/>
      <c r="I5" s="461"/>
      <c r="J5" s="448"/>
      <c r="K5" s="461"/>
      <c r="L5" s="450" t="s">
        <v>154</v>
      </c>
      <c r="M5" s="451"/>
      <c r="N5" s="452"/>
      <c r="O5" s="480" t="s">
        <v>181</v>
      </c>
      <c r="P5" s="481"/>
      <c r="Q5" s="482"/>
      <c r="R5" s="456" t="s">
        <v>183</v>
      </c>
      <c r="S5" s="456"/>
      <c r="T5" s="456"/>
      <c r="U5" s="461"/>
      <c r="V5" s="463"/>
      <c r="W5" s="448"/>
      <c r="X5" s="449"/>
    </row>
    <row r="6" spans="1:24" ht="15.75" customHeight="1">
      <c r="A6" s="5" t="s">
        <v>1</v>
      </c>
      <c r="B6" s="10" t="s">
        <v>2</v>
      </c>
      <c r="C6" s="60" t="s">
        <v>3</v>
      </c>
      <c r="D6" s="60"/>
      <c r="E6" s="10" t="s">
        <v>4</v>
      </c>
      <c r="F6" s="10" t="s">
        <v>5</v>
      </c>
      <c r="G6" s="138" t="s">
        <v>6</v>
      </c>
      <c r="H6" s="10" t="s">
        <v>7</v>
      </c>
      <c r="I6" s="10" t="s">
        <v>38</v>
      </c>
      <c r="J6" s="10" t="s">
        <v>60</v>
      </c>
      <c r="K6" s="10" t="s">
        <v>8</v>
      </c>
      <c r="L6" s="10"/>
      <c r="M6" s="10"/>
      <c r="N6" s="10"/>
      <c r="O6" s="10"/>
      <c r="P6" s="10"/>
      <c r="Q6" s="305"/>
      <c r="R6" s="10" t="s">
        <v>25</v>
      </c>
      <c r="S6" s="10"/>
      <c r="T6" s="10" t="s">
        <v>66</v>
      </c>
      <c r="U6" s="10" t="s">
        <v>67</v>
      </c>
      <c r="V6" s="143" t="s">
        <v>68</v>
      </c>
      <c r="W6" s="10" t="s">
        <v>69</v>
      </c>
      <c r="X6" s="10" t="s">
        <v>70</v>
      </c>
    </row>
    <row r="7" spans="1:24" ht="15.75" customHeight="1">
      <c r="A7" s="18"/>
      <c r="B7" s="19" t="s">
        <v>27</v>
      </c>
      <c r="C7" s="60"/>
      <c r="D7" s="60"/>
      <c r="E7" s="10"/>
      <c r="F7" s="10"/>
      <c r="G7" s="138"/>
      <c r="H7" s="10"/>
      <c r="I7" s="10"/>
      <c r="J7" s="10"/>
      <c r="K7" s="10"/>
      <c r="L7" s="10"/>
      <c r="M7" s="10"/>
      <c r="N7" s="10"/>
      <c r="O7" s="10"/>
      <c r="P7" s="10"/>
      <c r="Q7" s="305"/>
      <c r="R7" s="10"/>
      <c r="S7" s="10"/>
      <c r="T7" s="10"/>
      <c r="U7" s="10"/>
      <c r="V7" s="143"/>
      <c r="W7" s="10"/>
      <c r="X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1580633.8</v>
      </c>
      <c r="E8" s="151">
        <f>E9+E15+E18+E19+E23+E17</f>
        <v>1580633.8</v>
      </c>
      <c r="F8" s="151">
        <f>F9+F15+F18+F19+F23+F17</f>
        <v>112027.019</v>
      </c>
      <c r="G8" s="151">
        <f>G9+G15+G18+G19+G23+G17</f>
        <v>112027.01</v>
      </c>
      <c r="H8" s="151">
        <f>G8-F8</f>
        <v>-0.00900000000547152</v>
      </c>
      <c r="I8" s="341">
        <f aca="true" t="shared" si="0" ref="I8:I15">G8/F8</f>
        <v>0.9999999196622379</v>
      </c>
      <c r="J8" s="153">
        <f aca="true" t="shared" si="1" ref="J8:J52">G8-E8</f>
        <v>-1468606.79</v>
      </c>
      <c r="K8" s="218">
        <f aca="true" t="shared" si="2" ref="K8:K14">G8/E8</f>
        <v>0.07087474024660234</v>
      </c>
      <c r="L8" s="153"/>
      <c r="M8" s="153"/>
      <c r="N8" s="153"/>
      <c r="O8" s="153">
        <v>1329586.12</v>
      </c>
      <c r="P8" s="153">
        <f aca="true" t="shared" si="3" ref="P8:P22">E8-O8</f>
        <v>251047.67999999993</v>
      </c>
      <c r="Q8" s="218">
        <f aca="true" t="shared" si="4" ref="Q8:Q22">E8/O8</f>
        <v>1.188816411531131</v>
      </c>
      <c r="R8" s="151">
        <v>93856.96</v>
      </c>
      <c r="S8" s="151">
        <f aca="true" t="shared" si="5" ref="S8:S78">G8-R8</f>
        <v>18170.04999999999</v>
      </c>
      <c r="T8" s="204">
        <f aca="true" t="shared" si="6" ref="T8:T20">G8/R8</f>
        <v>1.1935929951279052</v>
      </c>
      <c r="U8" s="151">
        <f>U9+U15+U18+U19+U23+U17</f>
        <v>112027.019</v>
      </c>
      <c r="V8" s="151">
        <f>V9+V15+V18+V19+V23+V17</f>
        <v>112027.01</v>
      </c>
      <c r="W8" s="151">
        <f>V8-U8</f>
        <v>-0.00900000000547152</v>
      </c>
      <c r="X8" s="204">
        <f aca="true" t="shared" si="7" ref="X8:X15">V8/U8</f>
        <v>0.9999999196622379</v>
      </c>
      <c r="Y8" s="329">
        <f aca="true" t="shared" si="8" ref="Y8:Y22">T8-Q8</f>
        <v>0.004776583596774131</v>
      </c>
    </row>
    <row r="9" spans="1:25" s="6" customFormat="1" ht="18">
      <c r="A9" s="8"/>
      <c r="B9" s="130" t="s">
        <v>79</v>
      </c>
      <c r="C9" s="43">
        <v>11010000</v>
      </c>
      <c r="D9" s="408">
        <v>956203</v>
      </c>
      <c r="E9" s="150">
        <v>956203</v>
      </c>
      <c r="F9" s="150">
        <v>63829.339</v>
      </c>
      <c r="G9" s="156">
        <v>63829.29</v>
      </c>
      <c r="H9" s="150">
        <f>G9-F9</f>
        <v>-0.04899999999906868</v>
      </c>
      <c r="I9" s="339">
        <f t="shared" si="0"/>
        <v>0.9999992323279425</v>
      </c>
      <c r="J9" s="158">
        <f t="shared" si="1"/>
        <v>-892373.71</v>
      </c>
      <c r="K9" s="209">
        <f t="shared" si="2"/>
        <v>0.06675286523886664</v>
      </c>
      <c r="L9" s="158"/>
      <c r="M9" s="158"/>
      <c r="N9" s="158"/>
      <c r="O9" s="158">
        <v>775821.8</v>
      </c>
      <c r="P9" s="158">
        <f t="shared" si="3"/>
        <v>180381.19999999995</v>
      </c>
      <c r="Q9" s="209">
        <f t="shared" si="4"/>
        <v>1.2325033918871575</v>
      </c>
      <c r="R9" s="226">
        <v>46924.93</v>
      </c>
      <c r="S9" s="159">
        <f t="shared" si="5"/>
        <v>16904.36</v>
      </c>
      <c r="T9" s="205">
        <f t="shared" si="6"/>
        <v>1.3602426258281046</v>
      </c>
      <c r="U9" s="157">
        <f>F9-0</f>
        <v>63829.339</v>
      </c>
      <c r="V9" s="160">
        <f>G9-0</f>
        <v>63829.29</v>
      </c>
      <c r="W9" s="161">
        <f>V9-U9</f>
        <v>-0.04899999999906868</v>
      </c>
      <c r="X9" s="209">
        <f t="shared" si="7"/>
        <v>0.9999992323279425</v>
      </c>
      <c r="Y9" s="330">
        <f t="shared" si="8"/>
        <v>0.1277392339409471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409">
        <v>881803</v>
      </c>
      <c r="E10" s="103">
        <v>881803</v>
      </c>
      <c r="F10" s="103">
        <v>58978.7</v>
      </c>
      <c r="G10" s="140">
        <v>58978.69</v>
      </c>
      <c r="H10" s="103">
        <f aca="true" t="shared" si="9" ref="H10:H47">G10-F10</f>
        <v>-0.00999999999476131</v>
      </c>
      <c r="I10" s="340">
        <f t="shared" si="0"/>
        <v>0.9999998304472633</v>
      </c>
      <c r="J10" s="104">
        <f t="shared" si="1"/>
        <v>-822824.31</v>
      </c>
      <c r="K10" s="109">
        <f t="shared" si="2"/>
        <v>0.06688420202698335</v>
      </c>
      <c r="L10" s="104"/>
      <c r="M10" s="104"/>
      <c r="N10" s="104"/>
      <c r="O10" s="104">
        <v>709899.75</v>
      </c>
      <c r="P10" s="104">
        <f t="shared" si="3"/>
        <v>171903.25</v>
      </c>
      <c r="Q10" s="109">
        <f t="shared" si="4"/>
        <v>1.2421514446229909</v>
      </c>
      <c r="R10" s="106">
        <v>43142.93</v>
      </c>
      <c r="S10" s="106">
        <f t="shared" si="5"/>
        <v>15835.760000000002</v>
      </c>
      <c r="T10" s="206">
        <f t="shared" si="6"/>
        <v>1.367053419876675</v>
      </c>
      <c r="U10" s="105">
        <f aca="true" t="shared" si="10" ref="U10:U52">F10</f>
        <v>58978.7</v>
      </c>
      <c r="V10" s="144">
        <f aca="true" t="shared" si="11" ref="V10:V52">G10</f>
        <v>58978.69</v>
      </c>
      <c r="W10" s="106">
        <f aca="true" t="shared" si="12" ref="W10:W52">V10-U10</f>
        <v>-0.00999999999476131</v>
      </c>
      <c r="X10" s="109">
        <f t="shared" si="7"/>
        <v>0.9999998304472633</v>
      </c>
      <c r="Y10" s="328">
        <f t="shared" si="8"/>
        <v>0.12490197525368418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409">
        <v>49900</v>
      </c>
      <c r="E11" s="103">
        <v>49900</v>
      </c>
      <c r="F11" s="103">
        <v>3484.7</v>
      </c>
      <c r="G11" s="140">
        <v>3484.7</v>
      </c>
      <c r="H11" s="103">
        <f t="shared" si="9"/>
        <v>0</v>
      </c>
      <c r="I11" s="340">
        <f t="shared" si="0"/>
        <v>1</v>
      </c>
      <c r="J11" s="104">
        <f t="shared" si="1"/>
        <v>-46415.3</v>
      </c>
      <c r="K11" s="109">
        <f t="shared" si="2"/>
        <v>0.06983366733466934</v>
      </c>
      <c r="L11" s="104"/>
      <c r="M11" s="104"/>
      <c r="N11" s="104"/>
      <c r="O11" s="104">
        <v>42516.41</v>
      </c>
      <c r="P11" s="104">
        <f t="shared" si="3"/>
        <v>7383.5899999999965</v>
      </c>
      <c r="Q11" s="109">
        <f t="shared" si="4"/>
        <v>1.1736644744934954</v>
      </c>
      <c r="R11" s="106">
        <v>2681.7</v>
      </c>
      <c r="S11" s="106">
        <f t="shared" si="5"/>
        <v>803</v>
      </c>
      <c r="T11" s="206">
        <f t="shared" si="6"/>
        <v>1.2994369243390387</v>
      </c>
      <c r="U11" s="105">
        <f t="shared" si="10"/>
        <v>3484.7</v>
      </c>
      <c r="V11" s="144">
        <f t="shared" si="11"/>
        <v>3484.7</v>
      </c>
      <c r="W11" s="106">
        <f t="shared" si="12"/>
        <v>0</v>
      </c>
      <c r="X11" s="109">
        <f t="shared" si="7"/>
        <v>1</v>
      </c>
      <c r="Y11" s="328">
        <f t="shared" si="8"/>
        <v>0.12577244984554325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409">
        <v>12000</v>
      </c>
      <c r="E12" s="103">
        <v>12000</v>
      </c>
      <c r="F12" s="103">
        <v>744.409</v>
      </c>
      <c r="G12" s="140">
        <v>744.39</v>
      </c>
      <c r="H12" s="103">
        <f t="shared" si="9"/>
        <v>-0.019000000000005457</v>
      </c>
      <c r="I12" s="340">
        <f t="shared" si="0"/>
        <v>0.999974476396712</v>
      </c>
      <c r="J12" s="104">
        <f t="shared" si="1"/>
        <v>-11255.61</v>
      </c>
      <c r="K12" s="109">
        <f t="shared" si="2"/>
        <v>0.0620325</v>
      </c>
      <c r="L12" s="104"/>
      <c r="M12" s="104"/>
      <c r="N12" s="104"/>
      <c r="O12" s="104">
        <v>11992.15</v>
      </c>
      <c r="P12" s="104">
        <f t="shared" si="3"/>
        <v>7.850000000000364</v>
      </c>
      <c r="Q12" s="109">
        <f t="shared" si="4"/>
        <v>1.0006545948808179</v>
      </c>
      <c r="R12" s="106">
        <v>500.43</v>
      </c>
      <c r="S12" s="106">
        <f t="shared" si="5"/>
        <v>243.95999999999998</v>
      </c>
      <c r="T12" s="206">
        <f t="shared" si="6"/>
        <v>1.487500749355554</v>
      </c>
      <c r="U12" s="105">
        <f t="shared" si="10"/>
        <v>744.409</v>
      </c>
      <c r="V12" s="144">
        <f t="shared" si="11"/>
        <v>744.39</v>
      </c>
      <c r="W12" s="106">
        <f t="shared" si="12"/>
        <v>-0.019000000000005457</v>
      </c>
      <c r="X12" s="109">
        <f t="shared" si="7"/>
        <v>0.999974476396712</v>
      </c>
      <c r="Y12" s="328">
        <f t="shared" si="8"/>
        <v>0.4868461544747362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409">
        <v>12000</v>
      </c>
      <c r="E13" s="103">
        <v>12000</v>
      </c>
      <c r="F13" s="103">
        <v>475.9</v>
      </c>
      <c r="G13" s="140">
        <v>475.87</v>
      </c>
      <c r="H13" s="103">
        <f t="shared" si="9"/>
        <v>-0.029999999999972715</v>
      </c>
      <c r="I13" s="340">
        <f t="shared" si="0"/>
        <v>0.9999369615465434</v>
      </c>
      <c r="J13" s="104">
        <f t="shared" si="1"/>
        <v>-11524.13</v>
      </c>
      <c r="K13" s="109">
        <f t="shared" si="2"/>
        <v>0.039655833333333335</v>
      </c>
      <c r="L13" s="104"/>
      <c r="M13" s="104"/>
      <c r="N13" s="104"/>
      <c r="O13" s="104">
        <v>10036.81</v>
      </c>
      <c r="P13" s="104">
        <f t="shared" si="3"/>
        <v>1963.1900000000005</v>
      </c>
      <c r="Q13" s="109">
        <f t="shared" si="4"/>
        <v>1.195599000080703</v>
      </c>
      <c r="R13" s="106">
        <v>499.36</v>
      </c>
      <c r="S13" s="106">
        <f t="shared" si="5"/>
        <v>-23.49000000000001</v>
      </c>
      <c r="T13" s="206">
        <f t="shared" si="6"/>
        <v>0.9529597885293175</v>
      </c>
      <c r="U13" s="105">
        <f t="shared" si="10"/>
        <v>475.9</v>
      </c>
      <c r="V13" s="144">
        <f t="shared" si="11"/>
        <v>475.87</v>
      </c>
      <c r="W13" s="106">
        <f t="shared" si="12"/>
        <v>-0.029999999999972715</v>
      </c>
      <c r="X13" s="109">
        <f t="shared" si="7"/>
        <v>0.9999369615465434</v>
      </c>
      <c r="Y13" s="328">
        <f t="shared" si="8"/>
        <v>-0.24263921155138557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409">
        <v>500</v>
      </c>
      <c r="E14" s="103">
        <v>500</v>
      </c>
      <c r="F14" s="103">
        <v>145.63</v>
      </c>
      <c r="G14" s="140">
        <v>145.63</v>
      </c>
      <c r="H14" s="103">
        <f t="shared" si="9"/>
        <v>0</v>
      </c>
      <c r="I14" s="340">
        <f t="shared" si="0"/>
        <v>1</v>
      </c>
      <c r="J14" s="104">
        <f t="shared" si="1"/>
        <v>-354.37</v>
      </c>
      <c r="K14" s="109">
        <f t="shared" si="2"/>
        <v>0.29125999999999996</v>
      </c>
      <c r="L14" s="104"/>
      <c r="M14" s="104"/>
      <c r="N14" s="104"/>
      <c r="O14" s="104">
        <v>1376.68</v>
      </c>
      <c r="P14" s="104">
        <f t="shared" si="3"/>
        <v>-876.6800000000001</v>
      </c>
      <c r="Q14" s="109">
        <f t="shared" si="4"/>
        <v>0.36319260830403577</v>
      </c>
      <c r="R14" s="106">
        <v>100.5</v>
      </c>
      <c r="S14" s="106">
        <f t="shared" si="5"/>
        <v>45.129999999999995</v>
      </c>
      <c r="T14" s="206">
        <f t="shared" si="6"/>
        <v>1.4490547263681592</v>
      </c>
      <c r="U14" s="105">
        <f t="shared" si="10"/>
        <v>145.63</v>
      </c>
      <c r="V14" s="144">
        <f t="shared" si="11"/>
        <v>145.63</v>
      </c>
      <c r="W14" s="106">
        <f t="shared" si="12"/>
        <v>0</v>
      </c>
      <c r="X14" s="109">
        <f t="shared" si="7"/>
        <v>1</v>
      </c>
      <c r="Y14" s="328">
        <f t="shared" si="8"/>
        <v>1.0858621180641235</v>
      </c>
    </row>
    <row r="15" spans="1:25" s="6" customFormat="1" ht="30.75">
      <c r="A15" s="8"/>
      <c r="B15" s="131" t="s">
        <v>11</v>
      </c>
      <c r="C15" s="43">
        <v>11020200</v>
      </c>
      <c r="D15" s="408">
        <v>900</v>
      </c>
      <c r="E15" s="150">
        <v>900</v>
      </c>
      <c r="F15" s="150">
        <v>0</v>
      </c>
      <c r="G15" s="156">
        <v>0</v>
      </c>
      <c r="H15" s="150">
        <f t="shared" si="9"/>
        <v>0</v>
      </c>
      <c r="I15" s="339" t="e">
        <f t="shared" si="0"/>
        <v>#DIV/0!</v>
      </c>
      <c r="J15" s="158">
        <f t="shared" si="1"/>
        <v>-900</v>
      </c>
      <c r="K15" s="158">
        <f aca="true" t="shared" si="13" ref="K15:K23">G15/E15*100</f>
        <v>0</v>
      </c>
      <c r="L15" s="158"/>
      <c r="M15" s="158"/>
      <c r="N15" s="158"/>
      <c r="O15" s="158">
        <v>887.61</v>
      </c>
      <c r="P15" s="158">
        <f t="shared" si="3"/>
        <v>12.389999999999986</v>
      </c>
      <c r="Q15" s="209">
        <f t="shared" si="4"/>
        <v>1.0139588332713692</v>
      </c>
      <c r="R15" s="161">
        <v>0</v>
      </c>
      <c r="S15" s="161">
        <f t="shared" si="5"/>
        <v>0</v>
      </c>
      <c r="T15" s="207" t="e">
        <f t="shared" si="6"/>
        <v>#DIV/0!</v>
      </c>
      <c r="U15" s="157">
        <f t="shared" si="10"/>
        <v>0</v>
      </c>
      <c r="V15" s="160">
        <f t="shared" si="11"/>
        <v>0</v>
      </c>
      <c r="W15" s="161">
        <f t="shared" si="12"/>
        <v>0</v>
      </c>
      <c r="X15" s="209" t="e">
        <f t="shared" si="7"/>
        <v>#DIV/0!</v>
      </c>
      <c r="Y15" s="327" t="e">
        <f t="shared" si="8"/>
        <v>#DIV/0!</v>
      </c>
    </row>
    <row r="16" spans="1:25" s="6" customFormat="1" ht="18" customHeight="1" hidden="1">
      <c r="A16" s="8"/>
      <c r="B16" s="325" t="s">
        <v>65</v>
      </c>
      <c r="C16" s="102">
        <v>11010232</v>
      </c>
      <c r="D16" s="102"/>
      <c r="E16" s="103"/>
      <c r="F16" s="150">
        <f>E16</f>
        <v>0</v>
      </c>
      <c r="G16" s="140">
        <v>0</v>
      </c>
      <c r="H16" s="150">
        <f t="shared" si="9"/>
        <v>0</v>
      </c>
      <c r="I16" s="339" t="e">
        <f>G16/F16/100</f>
        <v>#DIV/0!</v>
      </c>
      <c r="J16" s="158">
        <f t="shared" si="1"/>
        <v>0</v>
      </c>
      <c r="K16" s="158" t="e">
        <f t="shared" si="13"/>
        <v>#DIV/0!</v>
      </c>
      <c r="L16" s="158"/>
      <c r="M16" s="158"/>
      <c r="N16" s="158"/>
      <c r="O16" s="158"/>
      <c r="P16" s="158">
        <f t="shared" si="3"/>
        <v>0</v>
      </c>
      <c r="Q16" s="209" t="e">
        <f t="shared" si="4"/>
        <v>#DIV/0!</v>
      </c>
      <c r="R16" s="161">
        <f>O16</f>
        <v>0</v>
      </c>
      <c r="S16" s="161">
        <f t="shared" si="5"/>
        <v>0</v>
      </c>
      <c r="T16" s="207" t="e">
        <f t="shared" si="6"/>
        <v>#DIV/0!</v>
      </c>
      <c r="U16" s="157">
        <f t="shared" si="10"/>
        <v>0</v>
      </c>
      <c r="V16" s="160">
        <f t="shared" si="11"/>
        <v>0</v>
      </c>
      <c r="W16" s="161">
        <f t="shared" si="12"/>
        <v>0</v>
      </c>
      <c r="X16" s="209" t="e">
        <f>V16/U16*100</f>
        <v>#DIV/0!</v>
      </c>
      <c r="Y16" s="327" t="e">
        <f t="shared" si="8"/>
        <v>#DIV/0!</v>
      </c>
    </row>
    <row r="17" spans="1:25" s="6" customFormat="1" ht="30.75" customHeight="1" hidden="1">
      <c r="A17" s="8"/>
      <c r="B17" s="224" t="s">
        <v>116</v>
      </c>
      <c r="C17" s="120">
        <v>13010200</v>
      </c>
      <c r="D17" s="120"/>
      <c r="E17" s="162"/>
      <c r="F17" s="150">
        <f>E17</f>
        <v>0</v>
      </c>
      <c r="G17" s="163">
        <v>0</v>
      </c>
      <c r="H17" s="150">
        <f t="shared" si="9"/>
        <v>0</v>
      </c>
      <c r="I17" s="339"/>
      <c r="J17" s="158">
        <f t="shared" si="1"/>
        <v>0</v>
      </c>
      <c r="K17" s="158"/>
      <c r="L17" s="158"/>
      <c r="M17" s="158"/>
      <c r="N17" s="158"/>
      <c r="O17" s="158">
        <v>0.49</v>
      </c>
      <c r="P17" s="158">
        <f t="shared" si="3"/>
        <v>-0.49</v>
      </c>
      <c r="Q17" s="209">
        <f t="shared" si="4"/>
        <v>0</v>
      </c>
      <c r="R17" s="161">
        <v>0</v>
      </c>
      <c r="S17" s="161">
        <f t="shared" si="5"/>
        <v>0</v>
      </c>
      <c r="T17" s="207" t="e">
        <f t="shared" si="6"/>
        <v>#DIV/0!</v>
      </c>
      <c r="U17" s="157">
        <f t="shared" si="10"/>
        <v>0</v>
      </c>
      <c r="V17" s="160">
        <f t="shared" si="11"/>
        <v>0</v>
      </c>
      <c r="W17" s="161">
        <f t="shared" si="12"/>
        <v>0</v>
      </c>
      <c r="X17" s="209"/>
      <c r="Y17" s="327" t="e">
        <f t="shared" si="8"/>
        <v>#DIV/0!</v>
      </c>
    </row>
    <row r="18" spans="1:25" s="6" customFormat="1" ht="30.75">
      <c r="A18" s="8"/>
      <c r="B18" s="130" t="s">
        <v>117</v>
      </c>
      <c r="C18" s="120">
        <v>13030200</v>
      </c>
      <c r="D18" s="410">
        <v>235.6</v>
      </c>
      <c r="E18" s="150">
        <v>235.6</v>
      </c>
      <c r="F18" s="150">
        <v>0</v>
      </c>
      <c r="G18" s="156">
        <v>0</v>
      </c>
      <c r="H18" s="150">
        <f t="shared" si="9"/>
        <v>0</v>
      </c>
      <c r="I18" s="339" t="e">
        <f aca="true" t="shared" si="14" ref="I18:I41">G18/F18</f>
        <v>#DIV/0!</v>
      </c>
      <c r="J18" s="158">
        <f t="shared" si="1"/>
        <v>-235.6</v>
      </c>
      <c r="K18" s="158">
        <f t="shared" si="13"/>
        <v>0</v>
      </c>
      <c r="L18" s="158"/>
      <c r="M18" s="158"/>
      <c r="N18" s="158"/>
      <c r="O18" s="158">
        <v>220.59</v>
      </c>
      <c r="P18" s="158">
        <f t="shared" si="3"/>
        <v>15.009999999999991</v>
      </c>
      <c r="Q18" s="209">
        <f t="shared" si="4"/>
        <v>1.0680447889750215</v>
      </c>
      <c r="R18" s="161">
        <v>0</v>
      </c>
      <c r="S18" s="161">
        <f t="shared" si="5"/>
        <v>0</v>
      </c>
      <c r="T18" s="207" t="e">
        <f t="shared" si="6"/>
        <v>#DIV/0!</v>
      </c>
      <c r="U18" s="157">
        <f t="shared" si="10"/>
        <v>0</v>
      </c>
      <c r="V18" s="160">
        <f t="shared" si="11"/>
        <v>0</v>
      </c>
      <c r="W18" s="161">
        <f t="shared" si="12"/>
        <v>0</v>
      </c>
      <c r="X18" s="209" t="e">
        <f aca="true" t="shared" si="15" ref="X18:X25">V18/U18</f>
        <v>#DIV/0!</v>
      </c>
      <c r="Y18" s="327" t="e">
        <f t="shared" si="8"/>
        <v>#DIV/0!</v>
      </c>
    </row>
    <row r="19" spans="1:25" s="6" customFormat="1" ht="18">
      <c r="A19" s="8"/>
      <c r="B19" s="130" t="s">
        <v>144</v>
      </c>
      <c r="C19" s="43"/>
      <c r="D19" s="184">
        <f>D20+D21+D22</f>
        <v>151728</v>
      </c>
      <c r="E19" s="150">
        <v>151728</v>
      </c>
      <c r="F19" s="150">
        <f>F20+F21+F22</f>
        <v>4989.58</v>
      </c>
      <c r="G19" s="222">
        <v>4989.58</v>
      </c>
      <c r="H19" s="150">
        <f t="shared" si="9"/>
        <v>0</v>
      </c>
      <c r="I19" s="339">
        <f t="shared" si="14"/>
        <v>1</v>
      </c>
      <c r="J19" s="158">
        <f t="shared" si="1"/>
        <v>-146738.42</v>
      </c>
      <c r="K19" s="158">
        <f t="shared" si="13"/>
        <v>3.288503110829906</v>
      </c>
      <c r="L19" s="158"/>
      <c r="M19" s="158"/>
      <c r="N19" s="158"/>
      <c r="O19" s="158">
        <v>121950.14</v>
      </c>
      <c r="P19" s="158">
        <f t="shared" si="3"/>
        <v>29777.86</v>
      </c>
      <c r="Q19" s="209">
        <f t="shared" si="4"/>
        <v>1.2441806134867905</v>
      </c>
      <c r="R19" s="161">
        <v>9751.75</v>
      </c>
      <c r="S19" s="161">
        <f t="shared" si="5"/>
        <v>-4762.17</v>
      </c>
      <c r="T19" s="207">
        <f t="shared" si="6"/>
        <v>0.5116599584689927</v>
      </c>
      <c r="U19" s="157">
        <f t="shared" si="10"/>
        <v>4989.58</v>
      </c>
      <c r="V19" s="160">
        <f t="shared" si="11"/>
        <v>4989.58</v>
      </c>
      <c r="W19" s="161">
        <f t="shared" si="12"/>
        <v>0</v>
      </c>
      <c r="X19" s="209">
        <f t="shared" si="15"/>
        <v>1</v>
      </c>
      <c r="Y19" s="327">
        <f t="shared" si="8"/>
        <v>-0.7325206550177978</v>
      </c>
    </row>
    <row r="20" spans="1:25" s="6" customFormat="1" ht="61.5">
      <c r="A20" s="8"/>
      <c r="B20" s="243" t="s">
        <v>150</v>
      </c>
      <c r="C20" s="123">
        <v>14040000</v>
      </c>
      <c r="D20" s="409">
        <v>66708</v>
      </c>
      <c r="E20" s="244">
        <v>66708</v>
      </c>
      <c r="F20" s="244">
        <v>4989.58</v>
      </c>
      <c r="G20" s="200">
        <v>4989.58</v>
      </c>
      <c r="H20" s="244">
        <f t="shared" si="9"/>
        <v>0</v>
      </c>
      <c r="I20" s="342">
        <f t="shared" si="14"/>
        <v>1</v>
      </c>
      <c r="J20" s="245">
        <f t="shared" si="1"/>
        <v>-61718.42</v>
      </c>
      <c r="K20" s="245">
        <f t="shared" si="13"/>
        <v>7.479732565809198</v>
      </c>
      <c r="L20" s="245"/>
      <c r="M20" s="245"/>
      <c r="N20" s="245"/>
      <c r="O20" s="245">
        <v>60736.45</v>
      </c>
      <c r="P20" s="245">
        <f t="shared" si="3"/>
        <v>5971.550000000003</v>
      </c>
      <c r="Q20" s="271">
        <f t="shared" si="4"/>
        <v>1.098319048940134</v>
      </c>
      <c r="R20" s="166">
        <v>9751.75</v>
      </c>
      <c r="S20" s="166">
        <f t="shared" si="5"/>
        <v>-4762.17</v>
      </c>
      <c r="T20" s="246">
        <f t="shared" si="6"/>
        <v>0.5116599584689927</v>
      </c>
      <c r="U20" s="194">
        <f t="shared" si="10"/>
        <v>4989.58</v>
      </c>
      <c r="V20" s="178">
        <f t="shared" si="11"/>
        <v>4989.58</v>
      </c>
      <c r="W20" s="166">
        <f t="shared" si="12"/>
        <v>0</v>
      </c>
      <c r="X20" s="271">
        <f t="shared" si="15"/>
        <v>1</v>
      </c>
      <c r="Y20" s="327">
        <f t="shared" si="8"/>
        <v>-0.5866590904711413</v>
      </c>
    </row>
    <row r="21" spans="1:25" s="6" customFormat="1" ht="18">
      <c r="A21" s="8"/>
      <c r="B21" s="243" t="s">
        <v>142</v>
      </c>
      <c r="C21" s="123">
        <v>14021900</v>
      </c>
      <c r="D21" s="409">
        <v>15696</v>
      </c>
      <c r="E21" s="244">
        <v>15696</v>
      </c>
      <c r="F21" s="244">
        <v>0</v>
      </c>
      <c r="G21" s="200">
        <v>0</v>
      </c>
      <c r="H21" s="244">
        <f t="shared" si="9"/>
        <v>0</v>
      </c>
      <c r="I21" s="342" t="e">
        <f t="shared" si="14"/>
        <v>#DIV/0!</v>
      </c>
      <c r="J21" s="245">
        <f t="shared" si="1"/>
        <v>-15696</v>
      </c>
      <c r="K21" s="245">
        <f t="shared" si="13"/>
        <v>0</v>
      </c>
      <c r="L21" s="245"/>
      <c r="M21" s="245"/>
      <c r="N21" s="245"/>
      <c r="O21" s="245">
        <v>12528.71</v>
      </c>
      <c r="P21" s="245">
        <f t="shared" si="3"/>
        <v>3167.290000000001</v>
      </c>
      <c r="Q21" s="271">
        <f t="shared" si="4"/>
        <v>1.2528025630731336</v>
      </c>
      <c r="R21" s="166">
        <v>0</v>
      </c>
      <c r="S21" s="166">
        <f t="shared" si="5"/>
        <v>0</v>
      </c>
      <c r="T21" s="246"/>
      <c r="U21" s="194">
        <f t="shared" si="10"/>
        <v>0</v>
      </c>
      <c r="V21" s="178">
        <f t="shared" si="11"/>
        <v>0</v>
      </c>
      <c r="W21" s="166">
        <f t="shared" si="12"/>
        <v>0</v>
      </c>
      <c r="X21" s="271" t="e">
        <f t="shared" si="15"/>
        <v>#DIV/0!</v>
      </c>
      <c r="Y21" s="327">
        <f t="shared" si="8"/>
        <v>-1.2528025630731336</v>
      </c>
    </row>
    <row r="22" spans="1:28" s="6" customFormat="1" ht="18">
      <c r="A22" s="8"/>
      <c r="B22" s="243" t="s">
        <v>143</v>
      </c>
      <c r="C22" s="123">
        <v>14031900</v>
      </c>
      <c r="D22" s="409">
        <v>69324</v>
      </c>
      <c r="E22" s="244">
        <v>69324</v>
      </c>
      <c r="F22" s="244">
        <v>0</v>
      </c>
      <c r="G22" s="200">
        <v>0</v>
      </c>
      <c r="H22" s="244">
        <f t="shared" si="9"/>
        <v>0</v>
      </c>
      <c r="I22" s="342" t="e">
        <f t="shared" si="14"/>
        <v>#DIV/0!</v>
      </c>
      <c r="J22" s="245">
        <f t="shared" si="1"/>
        <v>-69324</v>
      </c>
      <c r="K22" s="245">
        <f t="shared" si="13"/>
        <v>0</v>
      </c>
      <c r="L22" s="245"/>
      <c r="M22" s="245"/>
      <c r="N22" s="245"/>
      <c r="O22" s="245">
        <v>48684.98</v>
      </c>
      <c r="P22" s="245">
        <f t="shared" si="3"/>
        <v>20639.019999999997</v>
      </c>
      <c r="Q22" s="271">
        <f t="shared" si="4"/>
        <v>1.4239299266426728</v>
      </c>
      <c r="R22" s="166">
        <v>0</v>
      </c>
      <c r="S22" s="166">
        <f t="shared" si="5"/>
        <v>0</v>
      </c>
      <c r="T22" s="246"/>
      <c r="U22" s="194">
        <f t="shared" si="10"/>
        <v>0</v>
      </c>
      <c r="V22" s="178">
        <f t="shared" si="11"/>
        <v>0</v>
      </c>
      <c r="W22" s="166">
        <f t="shared" si="12"/>
        <v>0</v>
      </c>
      <c r="X22" s="271" t="e">
        <f t="shared" si="15"/>
        <v>#DIV/0!</v>
      </c>
      <c r="Y22" s="327">
        <f t="shared" si="8"/>
        <v>-1.4239299266426728</v>
      </c>
      <c r="AB22" s="147"/>
    </row>
    <row r="23" spans="1:28" s="6" customFormat="1" ht="18">
      <c r="A23" s="8"/>
      <c r="B23" s="326" t="s">
        <v>73</v>
      </c>
      <c r="C23" s="43">
        <v>18000000</v>
      </c>
      <c r="D23" s="150">
        <f>D24+D43+D47+D42</f>
        <v>471567.19999999995</v>
      </c>
      <c r="E23" s="150">
        <f>E24+E43+E47+E42</f>
        <v>471567.19999999995</v>
      </c>
      <c r="F23" s="150">
        <f>F24+F43+F47+F42</f>
        <v>43208.1</v>
      </c>
      <c r="G23" s="222">
        <v>43208.14</v>
      </c>
      <c r="H23" s="150">
        <f t="shared" si="9"/>
        <v>0.040000000000873115</v>
      </c>
      <c r="I23" s="339">
        <f t="shared" si="14"/>
        <v>1.0000009257523474</v>
      </c>
      <c r="J23" s="158">
        <f t="shared" si="1"/>
        <v>-428359.05999999994</v>
      </c>
      <c r="K23" s="158">
        <f t="shared" si="13"/>
        <v>9.162668650406559</v>
      </c>
      <c r="L23" s="158"/>
      <c r="M23" s="158"/>
      <c r="N23" s="158"/>
      <c r="O23" s="158">
        <v>430705.5</v>
      </c>
      <c r="P23" s="158">
        <f aca="true" t="shared" si="16" ref="P23:P51">E23-O23</f>
        <v>40861.69999999995</v>
      </c>
      <c r="Q23" s="209">
        <f aca="true" t="shared" si="17" ref="Q23:Q51">E23/O23</f>
        <v>1.0948715537646954</v>
      </c>
      <c r="R23" s="158">
        <v>37180.29</v>
      </c>
      <c r="S23" s="161">
        <f t="shared" si="5"/>
        <v>6027.8499999999985</v>
      </c>
      <c r="T23" s="208">
        <f aca="true" t="shared" si="18" ref="T23:T41">G23/R23</f>
        <v>1.1621248785310712</v>
      </c>
      <c r="U23" s="157">
        <f t="shared" si="10"/>
        <v>43208.1</v>
      </c>
      <c r="V23" s="160">
        <f t="shared" si="11"/>
        <v>43208.14</v>
      </c>
      <c r="W23" s="161">
        <f t="shared" si="12"/>
        <v>0.040000000000873115</v>
      </c>
      <c r="X23" s="209">
        <f t="shared" si="15"/>
        <v>1.0000009257523474</v>
      </c>
      <c r="Y23" s="327">
        <f>T23-Q23</f>
        <v>0.0672533247663758</v>
      </c>
      <c r="AB23" s="147"/>
    </row>
    <row r="24" spans="1:28" s="6" customFormat="1" ht="18">
      <c r="A24" s="8"/>
      <c r="B24" s="44" t="s">
        <v>81</v>
      </c>
      <c r="C24" s="114">
        <v>18010000</v>
      </c>
      <c r="D24" s="150">
        <f>D25+D32+D35</f>
        <v>216842</v>
      </c>
      <c r="E24" s="150">
        <f>E25+E32+E35</f>
        <v>216842</v>
      </c>
      <c r="F24" s="150">
        <f>F25+F32+F35</f>
        <v>18151.51</v>
      </c>
      <c r="G24" s="222">
        <f>G25+G32+G35</f>
        <v>18152.42</v>
      </c>
      <c r="H24" s="150">
        <f t="shared" si="9"/>
        <v>0.9099999999998545</v>
      </c>
      <c r="I24" s="339">
        <f t="shared" si="14"/>
        <v>1.0000501335701548</v>
      </c>
      <c r="J24" s="158">
        <f t="shared" si="1"/>
        <v>-198689.58000000002</v>
      </c>
      <c r="K24" s="209">
        <f aca="true" t="shared" si="19" ref="K24:K41">G24/E24</f>
        <v>0.08371265714206656</v>
      </c>
      <c r="L24" s="158"/>
      <c r="M24" s="158"/>
      <c r="N24" s="158"/>
      <c r="O24" s="158">
        <v>207231.03</v>
      </c>
      <c r="P24" s="158">
        <f t="shared" si="16"/>
        <v>9610.970000000001</v>
      </c>
      <c r="Q24" s="209">
        <f t="shared" si="17"/>
        <v>1.0463780448323787</v>
      </c>
      <c r="R24" s="158">
        <v>16520.28</v>
      </c>
      <c r="S24" s="161">
        <f t="shared" si="5"/>
        <v>1632.1399999999994</v>
      </c>
      <c r="T24" s="208">
        <f t="shared" si="18"/>
        <v>1.0987961463122902</v>
      </c>
      <c r="U24" s="157">
        <f t="shared" si="10"/>
        <v>18151.51</v>
      </c>
      <c r="V24" s="160">
        <f t="shared" si="11"/>
        <v>18152.42</v>
      </c>
      <c r="W24" s="161">
        <f t="shared" si="12"/>
        <v>0.9099999999998545</v>
      </c>
      <c r="X24" s="209">
        <f t="shared" si="15"/>
        <v>1.0000501335701548</v>
      </c>
      <c r="Y24" s="327">
        <f aca="true" t="shared" si="20" ref="Y24:Y99">T24-Q24</f>
        <v>0.05241810147991144</v>
      </c>
      <c r="AB24" s="406"/>
    </row>
    <row r="25" spans="1:26" s="6" customFormat="1" ht="18">
      <c r="A25" s="8"/>
      <c r="B25" s="50" t="s">
        <v>74</v>
      </c>
      <c r="C25" s="123"/>
      <c r="D25" s="431">
        <f>D26+D27</f>
        <v>28784</v>
      </c>
      <c r="E25" s="244">
        <f>E26+E27</f>
        <v>28784</v>
      </c>
      <c r="F25" s="244">
        <f>F26+F27</f>
        <v>4641</v>
      </c>
      <c r="G25" s="200">
        <v>4641.89</v>
      </c>
      <c r="H25" s="244">
        <f t="shared" si="9"/>
        <v>0.8900000000003274</v>
      </c>
      <c r="I25" s="342">
        <f t="shared" si="14"/>
        <v>1.0001917690152986</v>
      </c>
      <c r="J25" s="245">
        <f t="shared" si="1"/>
        <v>-24142.11</v>
      </c>
      <c r="K25" s="271">
        <f t="shared" si="19"/>
        <v>0.16126632851584213</v>
      </c>
      <c r="L25" s="245"/>
      <c r="M25" s="245"/>
      <c r="N25" s="245"/>
      <c r="O25" s="245">
        <v>25414.16</v>
      </c>
      <c r="P25" s="245">
        <f t="shared" si="16"/>
        <v>3369.84</v>
      </c>
      <c r="Q25" s="271">
        <f t="shared" si="17"/>
        <v>1.1325969459545386</v>
      </c>
      <c r="R25" s="270">
        <v>3819.61</v>
      </c>
      <c r="S25" s="166">
        <f t="shared" si="5"/>
        <v>822.2800000000002</v>
      </c>
      <c r="T25" s="214">
        <f t="shared" si="18"/>
        <v>1.2152785232000125</v>
      </c>
      <c r="U25" s="157">
        <f t="shared" si="10"/>
        <v>4641</v>
      </c>
      <c r="V25" s="160">
        <f t="shared" si="11"/>
        <v>4641.89</v>
      </c>
      <c r="W25" s="166">
        <f t="shared" si="12"/>
        <v>0.8900000000003274</v>
      </c>
      <c r="X25" s="271">
        <f t="shared" si="15"/>
        <v>1.0001917690152986</v>
      </c>
      <c r="Y25" s="327">
        <f t="shared" si="20"/>
        <v>0.08268157724547387</v>
      </c>
      <c r="Z25" s="147"/>
    </row>
    <row r="26" spans="1:26" s="6" customFormat="1" ht="18" customHeight="1" hidden="1">
      <c r="A26" s="8"/>
      <c r="B26" s="195" t="s">
        <v>109</v>
      </c>
      <c r="C26" s="196"/>
      <c r="D26" s="198">
        <f>D28+D29</f>
        <v>1522</v>
      </c>
      <c r="E26" s="198">
        <f>E28+E29</f>
        <v>1522</v>
      </c>
      <c r="F26" s="198">
        <f>F28+F29</f>
        <v>155.11</v>
      </c>
      <c r="G26" s="198">
        <f>G28+G29</f>
        <v>155.11</v>
      </c>
      <c r="H26" s="222">
        <f t="shared" si="9"/>
        <v>0</v>
      </c>
      <c r="I26" s="343">
        <f t="shared" si="14"/>
        <v>1</v>
      </c>
      <c r="J26" s="267">
        <f t="shared" si="1"/>
        <v>-1366.8899999999999</v>
      </c>
      <c r="K26" s="306">
        <f t="shared" si="19"/>
        <v>0.10191195795006572</v>
      </c>
      <c r="L26" s="267"/>
      <c r="M26" s="267"/>
      <c r="N26" s="267"/>
      <c r="O26" s="267">
        <f>O28+O29</f>
        <v>1512.89</v>
      </c>
      <c r="P26" s="267">
        <f t="shared" si="16"/>
        <v>9.1099999999999</v>
      </c>
      <c r="Q26" s="306">
        <f t="shared" si="17"/>
        <v>1.006021587821983</v>
      </c>
      <c r="R26" s="199">
        <f>R28+R29</f>
        <v>120.37</v>
      </c>
      <c r="S26" s="331">
        <f t="shared" si="5"/>
        <v>34.74000000000001</v>
      </c>
      <c r="T26" s="227">
        <f t="shared" si="18"/>
        <v>1.2886101188003656</v>
      </c>
      <c r="U26" s="234">
        <f t="shared" si="10"/>
        <v>155.11</v>
      </c>
      <c r="V26" s="234">
        <f t="shared" si="11"/>
        <v>155.11</v>
      </c>
      <c r="W26" s="267">
        <f t="shared" si="12"/>
        <v>0</v>
      </c>
      <c r="X26" s="306">
        <f aca="true" t="shared" si="21" ref="X26:X41">V26/U26</f>
        <v>1</v>
      </c>
      <c r="Y26" s="327">
        <f t="shared" si="20"/>
        <v>0.28258853097838266</v>
      </c>
      <c r="Z26" s="147"/>
    </row>
    <row r="27" spans="1:26" s="6" customFormat="1" ht="18" customHeight="1" hidden="1">
      <c r="A27" s="8"/>
      <c r="B27" s="195" t="s">
        <v>110</v>
      </c>
      <c r="C27" s="196"/>
      <c r="D27" s="198">
        <f>D30+D31</f>
        <v>27262</v>
      </c>
      <c r="E27" s="198">
        <f>E30+E31</f>
        <v>27262</v>
      </c>
      <c r="F27" s="198">
        <f>F30+F31</f>
        <v>4485.89</v>
      </c>
      <c r="G27" s="198">
        <f>G30+G31</f>
        <v>4486.79</v>
      </c>
      <c r="H27" s="222">
        <f t="shared" si="9"/>
        <v>0.8999999999996362</v>
      </c>
      <c r="I27" s="343">
        <f t="shared" si="14"/>
        <v>1.0002006290836378</v>
      </c>
      <c r="J27" s="267">
        <f t="shared" si="1"/>
        <v>-22775.21</v>
      </c>
      <c r="K27" s="306">
        <f t="shared" si="19"/>
        <v>0.16458036827818942</v>
      </c>
      <c r="L27" s="267"/>
      <c r="M27" s="267"/>
      <c r="N27" s="267"/>
      <c r="O27" s="267">
        <f>O30+O31</f>
        <v>23901.28</v>
      </c>
      <c r="P27" s="267">
        <f t="shared" si="16"/>
        <v>3360.720000000001</v>
      </c>
      <c r="Q27" s="306">
        <f t="shared" si="17"/>
        <v>1.1406083690915299</v>
      </c>
      <c r="R27" s="199">
        <f>R30+R31</f>
        <v>3699.25</v>
      </c>
      <c r="S27" s="331">
        <f t="shared" si="5"/>
        <v>787.54</v>
      </c>
      <c r="T27" s="227">
        <f t="shared" si="18"/>
        <v>1.212891802392377</v>
      </c>
      <c r="U27" s="234">
        <f t="shared" si="10"/>
        <v>4485.89</v>
      </c>
      <c r="V27" s="234">
        <f t="shared" si="11"/>
        <v>4486.79</v>
      </c>
      <c r="W27" s="267">
        <f t="shared" si="12"/>
        <v>0.8999999999996362</v>
      </c>
      <c r="X27" s="306">
        <f t="shared" si="21"/>
        <v>1.0002006290836378</v>
      </c>
      <c r="Y27" s="327">
        <f t="shared" si="20"/>
        <v>0.07228343330084708</v>
      </c>
      <c r="Z27" s="147"/>
    </row>
    <row r="28" spans="1:25" s="6" customFormat="1" ht="18" customHeight="1" hidden="1">
      <c r="A28" s="8"/>
      <c r="B28" s="336" t="s">
        <v>159</v>
      </c>
      <c r="C28" s="196">
        <v>18010100</v>
      </c>
      <c r="D28" s="422">
        <v>316</v>
      </c>
      <c r="E28" s="422">
        <v>316</v>
      </c>
      <c r="F28" s="350">
        <v>29.3</v>
      </c>
      <c r="G28" s="337">
        <v>29.3</v>
      </c>
      <c r="H28" s="349">
        <f t="shared" si="9"/>
        <v>0</v>
      </c>
      <c r="I28" s="351">
        <f t="shared" si="14"/>
        <v>1</v>
      </c>
      <c r="J28" s="352">
        <f t="shared" si="1"/>
        <v>-286.7</v>
      </c>
      <c r="K28" s="353">
        <f t="shared" si="19"/>
        <v>0.09272151898734178</v>
      </c>
      <c r="L28" s="267"/>
      <c r="M28" s="267"/>
      <c r="N28" s="267"/>
      <c r="O28" s="352">
        <v>275.91</v>
      </c>
      <c r="P28" s="352">
        <f t="shared" si="16"/>
        <v>40.089999999999975</v>
      </c>
      <c r="Q28" s="353">
        <f t="shared" si="17"/>
        <v>1.1453010039505636</v>
      </c>
      <c r="R28" s="352">
        <v>108.25</v>
      </c>
      <c r="S28" s="352">
        <f t="shared" si="5"/>
        <v>-78.95</v>
      </c>
      <c r="T28" s="353">
        <f t="shared" si="18"/>
        <v>0.2706697459584296</v>
      </c>
      <c r="U28" s="337">
        <f t="shared" si="10"/>
        <v>29.3</v>
      </c>
      <c r="V28" s="337">
        <f t="shared" si="11"/>
        <v>29.3</v>
      </c>
      <c r="W28" s="352">
        <f t="shared" si="12"/>
        <v>0</v>
      </c>
      <c r="X28" s="353">
        <f t="shared" si="21"/>
        <v>1</v>
      </c>
      <c r="Y28" s="327"/>
    </row>
    <row r="29" spans="1:25" s="6" customFormat="1" ht="18" customHeight="1" hidden="1">
      <c r="A29" s="8"/>
      <c r="B29" s="336" t="s">
        <v>157</v>
      </c>
      <c r="C29" s="196">
        <v>18010200</v>
      </c>
      <c r="D29" s="422">
        <v>1206</v>
      </c>
      <c r="E29" s="422">
        <v>1206</v>
      </c>
      <c r="F29" s="350">
        <v>125.81</v>
      </c>
      <c r="G29" s="337">
        <v>125.81</v>
      </c>
      <c r="H29" s="349">
        <f t="shared" si="9"/>
        <v>0</v>
      </c>
      <c r="I29" s="351">
        <f t="shared" si="14"/>
        <v>1</v>
      </c>
      <c r="J29" s="352">
        <f t="shared" si="1"/>
        <v>-1080.19</v>
      </c>
      <c r="K29" s="353">
        <f t="shared" si="19"/>
        <v>0.1043200663349917</v>
      </c>
      <c r="L29" s="267"/>
      <c r="M29" s="267"/>
      <c r="N29" s="267"/>
      <c r="O29" s="352">
        <v>1236.98</v>
      </c>
      <c r="P29" s="352">
        <f t="shared" si="16"/>
        <v>-30.980000000000018</v>
      </c>
      <c r="Q29" s="353">
        <f t="shared" si="17"/>
        <v>0.9749551326618053</v>
      </c>
      <c r="R29" s="352">
        <v>12.12</v>
      </c>
      <c r="S29" s="352">
        <f t="shared" si="5"/>
        <v>113.69</v>
      </c>
      <c r="T29" s="353">
        <f t="shared" si="18"/>
        <v>10.380363036303631</v>
      </c>
      <c r="U29" s="337">
        <f t="shared" si="10"/>
        <v>125.81</v>
      </c>
      <c r="V29" s="337">
        <f t="shared" si="11"/>
        <v>125.81</v>
      </c>
      <c r="W29" s="352">
        <f t="shared" si="12"/>
        <v>0</v>
      </c>
      <c r="X29" s="353">
        <f t="shared" si="21"/>
        <v>1</v>
      </c>
      <c r="Y29" s="327"/>
    </row>
    <row r="30" spans="1:25" s="6" customFormat="1" ht="18" customHeight="1" hidden="1">
      <c r="A30" s="8"/>
      <c r="B30" s="336" t="s">
        <v>158</v>
      </c>
      <c r="C30" s="196">
        <v>18010300</v>
      </c>
      <c r="D30" s="422">
        <v>2355</v>
      </c>
      <c r="E30" s="422">
        <v>2355</v>
      </c>
      <c r="F30" s="350">
        <f>280.99-0.9</f>
        <v>280.09000000000003</v>
      </c>
      <c r="G30" s="337">
        <v>280.99</v>
      </c>
      <c r="H30" s="349">
        <f t="shared" si="9"/>
        <v>0.8999999999999773</v>
      </c>
      <c r="I30" s="351">
        <f t="shared" si="14"/>
        <v>1.0032132528830018</v>
      </c>
      <c r="J30" s="352">
        <f t="shared" si="1"/>
        <v>-2074.01</v>
      </c>
      <c r="K30" s="353">
        <f t="shared" si="19"/>
        <v>0.11931634819532909</v>
      </c>
      <c r="L30" s="267"/>
      <c r="M30" s="267"/>
      <c r="N30" s="267"/>
      <c r="O30" s="352">
        <v>2220.25</v>
      </c>
      <c r="P30" s="352">
        <f t="shared" si="16"/>
        <v>134.75</v>
      </c>
      <c r="Q30" s="353">
        <f t="shared" si="17"/>
        <v>1.0606913635851818</v>
      </c>
      <c r="R30" s="352">
        <v>17.34</v>
      </c>
      <c r="S30" s="352">
        <f t="shared" si="5"/>
        <v>263.65000000000003</v>
      </c>
      <c r="T30" s="353">
        <f t="shared" si="18"/>
        <v>16.20472895040369</v>
      </c>
      <c r="U30" s="337">
        <f t="shared" si="10"/>
        <v>280.09000000000003</v>
      </c>
      <c r="V30" s="337">
        <f t="shared" si="11"/>
        <v>280.99</v>
      </c>
      <c r="W30" s="352">
        <f t="shared" si="12"/>
        <v>0.8999999999999773</v>
      </c>
      <c r="X30" s="353">
        <f t="shared" si="21"/>
        <v>1.0032132528830018</v>
      </c>
      <c r="Y30" s="327"/>
    </row>
    <row r="31" spans="1:25" s="6" customFormat="1" ht="18" customHeight="1" hidden="1">
      <c r="A31" s="8"/>
      <c r="B31" s="336" t="s">
        <v>160</v>
      </c>
      <c r="C31" s="196">
        <v>18010400</v>
      </c>
      <c r="D31" s="422">
        <v>24907</v>
      </c>
      <c r="E31" s="422">
        <v>24907</v>
      </c>
      <c r="F31" s="350">
        <v>4205.8</v>
      </c>
      <c r="G31" s="337">
        <v>4205.8</v>
      </c>
      <c r="H31" s="349">
        <f t="shared" si="9"/>
        <v>0</v>
      </c>
      <c r="I31" s="351">
        <f t="shared" si="14"/>
        <v>1</v>
      </c>
      <c r="J31" s="352">
        <f t="shared" si="1"/>
        <v>-20701.2</v>
      </c>
      <c r="K31" s="353">
        <f t="shared" si="19"/>
        <v>0.1688601597944353</v>
      </c>
      <c r="L31" s="267"/>
      <c r="M31" s="267"/>
      <c r="N31" s="267"/>
      <c r="O31" s="352">
        <v>21681.03</v>
      </c>
      <c r="P31" s="352">
        <f t="shared" si="16"/>
        <v>3225.970000000001</v>
      </c>
      <c r="Q31" s="353">
        <f t="shared" si="17"/>
        <v>1.148792285237371</v>
      </c>
      <c r="R31" s="352">
        <v>3681.91</v>
      </c>
      <c r="S31" s="352">
        <f t="shared" si="5"/>
        <v>523.8900000000003</v>
      </c>
      <c r="T31" s="353">
        <f t="shared" si="18"/>
        <v>1.1422875627052265</v>
      </c>
      <c r="U31" s="337">
        <f t="shared" si="10"/>
        <v>4205.8</v>
      </c>
      <c r="V31" s="337">
        <f t="shared" si="11"/>
        <v>4205.8</v>
      </c>
      <c r="W31" s="352"/>
      <c r="X31" s="353">
        <f t="shared" si="21"/>
        <v>1</v>
      </c>
      <c r="Y31" s="327"/>
    </row>
    <row r="32" spans="1:25" s="6" customFormat="1" ht="18">
      <c r="A32" s="8"/>
      <c r="B32" s="50" t="s">
        <v>75</v>
      </c>
      <c r="C32" s="123"/>
      <c r="D32" s="411">
        <f>D33+D34</f>
        <v>282</v>
      </c>
      <c r="E32" s="170">
        <f>E33+E34</f>
        <v>282</v>
      </c>
      <c r="F32" s="170">
        <f>F33+F34</f>
        <v>157.03</v>
      </c>
      <c r="G32" s="171">
        <v>157.03</v>
      </c>
      <c r="H32" s="244">
        <f t="shared" si="9"/>
        <v>0</v>
      </c>
      <c r="I32" s="342">
        <f t="shared" si="14"/>
        <v>1</v>
      </c>
      <c r="J32" s="245">
        <f t="shared" si="1"/>
        <v>-124.97</v>
      </c>
      <c r="K32" s="271">
        <f t="shared" si="19"/>
        <v>0.5568439716312057</v>
      </c>
      <c r="L32" s="245"/>
      <c r="M32" s="245"/>
      <c r="N32" s="245"/>
      <c r="O32" s="245">
        <v>645.26</v>
      </c>
      <c r="P32" s="245">
        <f t="shared" si="16"/>
        <v>-363.26</v>
      </c>
      <c r="Q32" s="271">
        <f t="shared" si="17"/>
        <v>0.43703313393050863</v>
      </c>
      <c r="R32" s="173">
        <v>52.08</v>
      </c>
      <c r="S32" s="173">
        <f t="shared" si="5"/>
        <v>104.95</v>
      </c>
      <c r="T32" s="211">
        <f t="shared" si="18"/>
        <v>3.0151689708141323</v>
      </c>
      <c r="U32" s="194">
        <f t="shared" si="10"/>
        <v>157.03</v>
      </c>
      <c r="V32" s="178">
        <f t="shared" si="11"/>
        <v>157.03</v>
      </c>
      <c r="W32" s="166">
        <f t="shared" si="12"/>
        <v>0</v>
      </c>
      <c r="X32" s="271">
        <f t="shared" si="21"/>
        <v>1</v>
      </c>
      <c r="Y32" s="328">
        <f t="shared" si="20"/>
        <v>2.578135836883624</v>
      </c>
    </row>
    <row r="33" spans="1:25" s="6" customFormat="1" ht="15" hidden="1">
      <c r="A33" s="8"/>
      <c r="B33" s="50" t="s">
        <v>161</v>
      </c>
      <c r="C33" s="123">
        <v>18011000</v>
      </c>
      <c r="D33" s="409">
        <v>100</v>
      </c>
      <c r="E33" s="409">
        <v>100</v>
      </c>
      <c r="F33" s="354">
        <v>27.85</v>
      </c>
      <c r="G33" s="140">
        <v>27.85</v>
      </c>
      <c r="H33" s="103">
        <f t="shared" si="9"/>
        <v>0</v>
      </c>
      <c r="I33" s="340">
        <f t="shared" si="14"/>
        <v>1</v>
      </c>
      <c r="J33" s="104">
        <f t="shared" si="1"/>
        <v>-72.15</v>
      </c>
      <c r="K33" s="109">
        <f t="shared" si="19"/>
        <v>0.2785</v>
      </c>
      <c r="L33" s="104"/>
      <c r="M33" s="104"/>
      <c r="N33" s="104"/>
      <c r="O33" s="104">
        <v>241.36</v>
      </c>
      <c r="P33" s="104">
        <f t="shared" si="16"/>
        <v>-141.36</v>
      </c>
      <c r="Q33" s="109">
        <f t="shared" si="17"/>
        <v>0.41431885979449784</v>
      </c>
      <c r="R33" s="104">
        <v>0</v>
      </c>
      <c r="S33" s="104">
        <f t="shared" si="5"/>
        <v>27.85</v>
      </c>
      <c r="T33" s="109" t="e">
        <f t="shared" si="18"/>
        <v>#DIV/0!</v>
      </c>
      <c r="U33" s="105">
        <f t="shared" si="10"/>
        <v>27.85</v>
      </c>
      <c r="V33" s="144">
        <f t="shared" si="11"/>
        <v>27.85</v>
      </c>
      <c r="W33" s="106">
        <f t="shared" si="12"/>
        <v>0</v>
      </c>
      <c r="X33" s="109">
        <f t="shared" si="21"/>
        <v>1</v>
      </c>
      <c r="Y33" s="328"/>
    </row>
    <row r="34" spans="1:25" s="6" customFormat="1" ht="15" hidden="1">
      <c r="A34" s="8"/>
      <c r="B34" s="50" t="s">
        <v>162</v>
      </c>
      <c r="C34" s="123">
        <v>18011100</v>
      </c>
      <c r="D34" s="409">
        <v>182</v>
      </c>
      <c r="E34" s="409">
        <v>182</v>
      </c>
      <c r="F34" s="354">
        <v>129.18</v>
      </c>
      <c r="G34" s="140">
        <v>129.18</v>
      </c>
      <c r="H34" s="103">
        <f t="shared" si="9"/>
        <v>0</v>
      </c>
      <c r="I34" s="340">
        <f t="shared" si="14"/>
        <v>1</v>
      </c>
      <c r="J34" s="104">
        <f t="shared" si="1"/>
        <v>-52.81999999999999</v>
      </c>
      <c r="K34" s="109">
        <f t="shared" si="19"/>
        <v>0.7097802197802198</v>
      </c>
      <c r="L34" s="104"/>
      <c r="M34" s="104"/>
      <c r="N34" s="104"/>
      <c r="O34" s="104">
        <v>403.91</v>
      </c>
      <c r="P34" s="104">
        <f t="shared" si="16"/>
        <v>-221.91000000000003</v>
      </c>
      <c r="Q34" s="109">
        <f t="shared" si="17"/>
        <v>0.45059542967492755</v>
      </c>
      <c r="R34" s="104">
        <v>52.08</v>
      </c>
      <c r="S34" s="104">
        <f t="shared" si="5"/>
        <v>77.10000000000001</v>
      </c>
      <c r="T34" s="109">
        <f t="shared" si="18"/>
        <v>2.480414746543779</v>
      </c>
      <c r="U34" s="105">
        <f t="shared" si="10"/>
        <v>129.18</v>
      </c>
      <c r="V34" s="144">
        <f t="shared" si="11"/>
        <v>129.18</v>
      </c>
      <c r="W34" s="106"/>
      <c r="X34" s="109">
        <f t="shared" si="21"/>
        <v>1</v>
      </c>
      <c r="Y34" s="328"/>
    </row>
    <row r="35" spans="1:25" s="6" customFormat="1" ht="18">
      <c r="A35" s="8"/>
      <c r="B35" s="50" t="s">
        <v>76</v>
      </c>
      <c r="C35" s="123"/>
      <c r="D35" s="411">
        <f>D36+D37</f>
        <v>187776</v>
      </c>
      <c r="E35" s="437">
        <f>E36+E37</f>
        <v>187776</v>
      </c>
      <c r="F35" s="437">
        <f>F36+F37</f>
        <v>13353.48</v>
      </c>
      <c r="G35" s="171">
        <v>13353.5</v>
      </c>
      <c r="H35" s="150">
        <f t="shared" si="9"/>
        <v>0.020000000000436557</v>
      </c>
      <c r="I35" s="342">
        <f t="shared" si="14"/>
        <v>1.0000014977369196</v>
      </c>
      <c r="J35" s="245">
        <f t="shared" si="1"/>
        <v>-174422.5</v>
      </c>
      <c r="K35" s="271">
        <f t="shared" si="19"/>
        <v>0.07111398687798227</v>
      </c>
      <c r="L35" s="245"/>
      <c r="M35" s="245"/>
      <c r="N35" s="245"/>
      <c r="O35" s="245">
        <v>181171.61</v>
      </c>
      <c r="P35" s="245">
        <f t="shared" si="16"/>
        <v>6604.390000000014</v>
      </c>
      <c r="Q35" s="271">
        <f t="shared" si="17"/>
        <v>1.0364537799272193</v>
      </c>
      <c r="R35" s="174">
        <v>12648.59</v>
      </c>
      <c r="S35" s="174">
        <f t="shared" si="5"/>
        <v>704.9099999999999</v>
      </c>
      <c r="T35" s="210">
        <f t="shared" si="18"/>
        <v>1.0557303225102561</v>
      </c>
      <c r="U35" s="194">
        <f t="shared" si="10"/>
        <v>13353.48</v>
      </c>
      <c r="V35" s="178">
        <f t="shared" si="11"/>
        <v>13353.5</v>
      </c>
      <c r="W35" s="166">
        <f t="shared" si="12"/>
        <v>0.020000000000436557</v>
      </c>
      <c r="X35" s="271">
        <f t="shared" si="21"/>
        <v>1.0000014977369196</v>
      </c>
      <c r="Y35" s="328">
        <f t="shared" si="20"/>
        <v>0.019276542583036793</v>
      </c>
    </row>
    <row r="36" spans="1:25" s="6" customFormat="1" ht="18" customHeight="1" hidden="1">
      <c r="A36" s="8"/>
      <c r="B36" s="195" t="s">
        <v>111</v>
      </c>
      <c r="C36" s="196"/>
      <c r="D36" s="424">
        <f>D38+D40</f>
        <v>60690</v>
      </c>
      <c r="E36" s="198">
        <f aca="true" t="shared" si="22" ref="E36:G37">E38+E40</f>
        <v>60690</v>
      </c>
      <c r="F36" s="198">
        <f t="shared" si="22"/>
        <v>4067.23</v>
      </c>
      <c r="G36" s="198">
        <f t="shared" si="22"/>
        <v>4067.24</v>
      </c>
      <c r="H36" s="222">
        <f t="shared" si="9"/>
        <v>0.009999999999763531</v>
      </c>
      <c r="I36" s="343">
        <f t="shared" si="14"/>
        <v>1.0000024586758063</v>
      </c>
      <c r="J36" s="267">
        <f t="shared" si="1"/>
        <v>-56622.76</v>
      </c>
      <c r="K36" s="306">
        <f t="shared" si="19"/>
        <v>0.067016641950898</v>
      </c>
      <c r="L36" s="267"/>
      <c r="M36" s="267"/>
      <c r="N36" s="267"/>
      <c r="O36" s="267">
        <f>O38+O40</f>
        <v>58608.68</v>
      </c>
      <c r="P36" s="267">
        <f t="shared" si="16"/>
        <v>2081.3199999999997</v>
      </c>
      <c r="Q36" s="306">
        <f t="shared" si="17"/>
        <v>1.0355121459824723</v>
      </c>
      <c r="R36" s="199">
        <f>R38+R40</f>
        <v>3799.8500000000004</v>
      </c>
      <c r="S36" s="199">
        <f t="shared" si="5"/>
        <v>267.3899999999994</v>
      </c>
      <c r="T36" s="227">
        <f t="shared" si="18"/>
        <v>1.0703685671802832</v>
      </c>
      <c r="U36" s="234">
        <f t="shared" si="10"/>
        <v>4067.23</v>
      </c>
      <c r="V36" s="234">
        <f t="shared" si="11"/>
        <v>4067.24</v>
      </c>
      <c r="W36" s="267">
        <f t="shared" si="12"/>
        <v>0.009999999999763531</v>
      </c>
      <c r="X36" s="306">
        <f t="shared" si="21"/>
        <v>1.0000024586758063</v>
      </c>
      <c r="Y36" s="327">
        <f t="shared" si="20"/>
        <v>0.03485642119781085</v>
      </c>
    </row>
    <row r="37" spans="1:25" s="6" customFormat="1" ht="18" customHeight="1" hidden="1">
      <c r="A37" s="8"/>
      <c r="B37" s="195" t="s">
        <v>112</v>
      </c>
      <c r="C37" s="196"/>
      <c r="D37" s="424">
        <f>D39+D41</f>
        <v>127086</v>
      </c>
      <c r="E37" s="198">
        <f t="shared" si="22"/>
        <v>127086</v>
      </c>
      <c r="F37" s="198">
        <f t="shared" si="22"/>
        <v>9286.25</v>
      </c>
      <c r="G37" s="198">
        <f t="shared" si="22"/>
        <v>9286.26</v>
      </c>
      <c r="H37" s="222">
        <f t="shared" si="9"/>
        <v>0.010000000000218279</v>
      </c>
      <c r="I37" s="343">
        <f t="shared" si="14"/>
        <v>1.0000010768609504</v>
      </c>
      <c r="J37" s="267">
        <f t="shared" si="1"/>
        <v>-117799.74</v>
      </c>
      <c r="K37" s="306">
        <f t="shared" si="19"/>
        <v>0.07307067654973798</v>
      </c>
      <c r="L37" s="267"/>
      <c r="M37" s="267"/>
      <c r="N37" s="267"/>
      <c r="O37" s="267">
        <f>O39+O41</f>
        <v>122562.93000000001</v>
      </c>
      <c r="P37" s="267">
        <f t="shared" si="16"/>
        <v>4523.069999999992</v>
      </c>
      <c r="Q37" s="306">
        <f t="shared" si="17"/>
        <v>1.0369040622641772</v>
      </c>
      <c r="R37" s="199">
        <f>R39+R41</f>
        <v>8848.73</v>
      </c>
      <c r="S37" s="199">
        <f t="shared" si="5"/>
        <v>437.53000000000065</v>
      </c>
      <c r="T37" s="227">
        <f t="shared" si="18"/>
        <v>1.0494455136499814</v>
      </c>
      <c r="U37" s="234">
        <f t="shared" si="10"/>
        <v>9286.25</v>
      </c>
      <c r="V37" s="234">
        <f t="shared" si="11"/>
        <v>9286.26</v>
      </c>
      <c r="W37" s="267">
        <f t="shared" si="12"/>
        <v>0.010000000000218279</v>
      </c>
      <c r="X37" s="306">
        <f t="shared" si="21"/>
        <v>1.0000010768609504</v>
      </c>
      <c r="Y37" s="327">
        <f t="shared" si="20"/>
        <v>0.012541451385804203</v>
      </c>
    </row>
    <row r="38" spans="1:25" s="6" customFormat="1" ht="18" customHeight="1" hidden="1">
      <c r="A38" s="8"/>
      <c r="B38" s="338" t="s">
        <v>163</v>
      </c>
      <c r="C38" s="196">
        <v>18010500</v>
      </c>
      <c r="D38" s="422">
        <v>57290</v>
      </c>
      <c r="E38" s="422">
        <v>57290</v>
      </c>
      <c r="F38" s="349">
        <v>3984.4</v>
      </c>
      <c r="G38" s="337">
        <v>3984.41</v>
      </c>
      <c r="H38" s="349">
        <f t="shared" si="9"/>
        <v>0.009999999999763531</v>
      </c>
      <c r="I38" s="351">
        <f t="shared" si="14"/>
        <v>1.0000025097881737</v>
      </c>
      <c r="J38" s="352">
        <f t="shared" si="1"/>
        <v>-53305.59</v>
      </c>
      <c r="K38" s="353">
        <f t="shared" si="19"/>
        <v>0.06954808867167045</v>
      </c>
      <c r="L38" s="267"/>
      <c r="M38" s="267"/>
      <c r="N38" s="267"/>
      <c r="O38" s="352">
        <v>55246.24</v>
      </c>
      <c r="P38" s="352">
        <f t="shared" si="16"/>
        <v>2043.760000000002</v>
      </c>
      <c r="Q38" s="353">
        <f t="shared" si="17"/>
        <v>1.0369936487985427</v>
      </c>
      <c r="R38" s="352">
        <v>3720.59</v>
      </c>
      <c r="S38" s="352">
        <f t="shared" si="5"/>
        <v>263.8199999999997</v>
      </c>
      <c r="T38" s="353">
        <f t="shared" si="18"/>
        <v>1.0709081086601855</v>
      </c>
      <c r="U38" s="337">
        <f t="shared" si="10"/>
        <v>3984.4</v>
      </c>
      <c r="V38" s="337">
        <f t="shared" si="11"/>
        <v>3984.41</v>
      </c>
      <c r="W38" s="352">
        <f t="shared" si="12"/>
        <v>0.009999999999763531</v>
      </c>
      <c r="X38" s="353">
        <f t="shared" si="21"/>
        <v>1.0000025097881737</v>
      </c>
      <c r="Y38" s="327"/>
    </row>
    <row r="39" spans="1:25" s="6" customFormat="1" ht="18" customHeight="1" hidden="1">
      <c r="A39" s="8"/>
      <c r="B39" s="338" t="s">
        <v>164</v>
      </c>
      <c r="C39" s="196">
        <v>18010600</v>
      </c>
      <c r="D39" s="422">
        <v>105986</v>
      </c>
      <c r="E39" s="422">
        <v>105986</v>
      </c>
      <c r="F39" s="349">
        <v>7793.45</v>
      </c>
      <c r="G39" s="337">
        <v>7793.45</v>
      </c>
      <c r="H39" s="349">
        <f t="shared" si="9"/>
        <v>0</v>
      </c>
      <c r="I39" s="351">
        <f t="shared" si="14"/>
        <v>1</v>
      </c>
      <c r="J39" s="352">
        <f t="shared" si="1"/>
        <v>-98192.55</v>
      </c>
      <c r="K39" s="353">
        <f t="shared" si="19"/>
        <v>0.07353282509010624</v>
      </c>
      <c r="L39" s="267"/>
      <c r="M39" s="267"/>
      <c r="N39" s="267"/>
      <c r="O39" s="352">
        <v>102196.35</v>
      </c>
      <c r="P39" s="352">
        <f t="shared" si="16"/>
        <v>3789.649999999994</v>
      </c>
      <c r="Q39" s="353">
        <f t="shared" si="17"/>
        <v>1.0370820484293226</v>
      </c>
      <c r="R39" s="352">
        <v>7428.28</v>
      </c>
      <c r="S39" s="352">
        <f t="shared" si="5"/>
        <v>365.1700000000001</v>
      </c>
      <c r="T39" s="353">
        <f t="shared" si="18"/>
        <v>1.0491594285621975</v>
      </c>
      <c r="U39" s="337">
        <f t="shared" si="10"/>
        <v>7793.45</v>
      </c>
      <c r="V39" s="337">
        <f t="shared" si="11"/>
        <v>7793.45</v>
      </c>
      <c r="W39" s="352">
        <f t="shared" si="12"/>
        <v>0</v>
      </c>
      <c r="X39" s="353">
        <f t="shared" si="21"/>
        <v>1</v>
      </c>
      <c r="Y39" s="327"/>
    </row>
    <row r="40" spans="1:25" s="6" customFormat="1" ht="18" customHeight="1" hidden="1">
      <c r="A40" s="8"/>
      <c r="B40" s="338" t="s">
        <v>165</v>
      </c>
      <c r="C40" s="196">
        <v>18010700</v>
      </c>
      <c r="D40" s="422">
        <v>3400</v>
      </c>
      <c r="E40" s="422">
        <v>3400</v>
      </c>
      <c r="F40" s="349">
        <v>82.83</v>
      </c>
      <c r="G40" s="337">
        <v>82.83</v>
      </c>
      <c r="H40" s="349">
        <f t="shared" si="9"/>
        <v>0</v>
      </c>
      <c r="I40" s="351">
        <f t="shared" si="14"/>
        <v>1</v>
      </c>
      <c r="J40" s="352">
        <f t="shared" si="1"/>
        <v>-3317.17</v>
      </c>
      <c r="K40" s="353">
        <f t="shared" si="19"/>
        <v>0.024361764705882354</v>
      </c>
      <c r="L40" s="267"/>
      <c r="M40" s="267"/>
      <c r="N40" s="267"/>
      <c r="O40" s="352">
        <v>3362.44</v>
      </c>
      <c r="P40" s="352">
        <f t="shared" si="16"/>
        <v>37.559999999999945</v>
      </c>
      <c r="Q40" s="353">
        <f t="shared" si="17"/>
        <v>1.0111704595472335</v>
      </c>
      <c r="R40" s="352">
        <v>79.26</v>
      </c>
      <c r="S40" s="352">
        <f t="shared" si="5"/>
        <v>3.569999999999993</v>
      </c>
      <c r="T40" s="353">
        <f t="shared" si="18"/>
        <v>1.0450416351249052</v>
      </c>
      <c r="U40" s="337">
        <f t="shared" si="10"/>
        <v>82.83</v>
      </c>
      <c r="V40" s="337">
        <f t="shared" si="11"/>
        <v>82.83</v>
      </c>
      <c r="W40" s="352">
        <f t="shared" si="12"/>
        <v>0</v>
      </c>
      <c r="X40" s="353">
        <f t="shared" si="21"/>
        <v>1</v>
      </c>
      <c r="Y40" s="327"/>
    </row>
    <row r="41" spans="1:25" s="6" customFormat="1" ht="18" customHeight="1" hidden="1">
      <c r="A41" s="8"/>
      <c r="B41" s="338" t="s">
        <v>166</v>
      </c>
      <c r="C41" s="196">
        <v>18010900</v>
      </c>
      <c r="D41" s="422">
        <v>21100</v>
      </c>
      <c r="E41" s="422">
        <v>21100</v>
      </c>
      <c r="F41" s="349">
        <v>1492.8</v>
      </c>
      <c r="G41" s="337">
        <v>1492.81</v>
      </c>
      <c r="H41" s="349">
        <f t="shared" si="9"/>
        <v>0.009999999999990905</v>
      </c>
      <c r="I41" s="351">
        <f t="shared" si="14"/>
        <v>1.0000066988210075</v>
      </c>
      <c r="J41" s="352">
        <f t="shared" si="1"/>
        <v>-19607.19</v>
      </c>
      <c r="K41" s="353">
        <f t="shared" si="19"/>
        <v>0.07074928909952606</v>
      </c>
      <c r="L41" s="267"/>
      <c r="M41" s="267"/>
      <c r="N41" s="267"/>
      <c r="O41" s="352">
        <v>20366.58</v>
      </c>
      <c r="P41" s="352">
        <f t="shared" si="16"/>
        <v>733.4199999999983</v>
      </c>
      <c r="Q41" s="353">
        <f t="shared" si="17"/>
        <v>1.0360109552021006</v>
      </c>
      <c r="R41" s="352">
        <v>1420.45</v>
      </c>
      <c r="S41" s="352">
        <f t="shared" si="5"/>
        <v>72.3599999999999</v>
      </c>
      <c r="T41" s="353">
        <f t="shared" si="18"/>
        <v>1.0509416030131296</v>
      </c>
      <c r="U41" s="337">
        <f t="shared" si="10"/>
        <v>1492.8</v>
      </c>
      <c r="V41" s="337">
        <f t="shared" si="11"/>
        <v>1492.81</v>
      </c>
      <c r="W41" s="352">
        <f t="shared" si="12"/>
        <v>0.009999999999990905</v>
      </c>
      <c r="X41" s="353">
        <f t="shared" si="21"/>
        <v>1.0000066988210075</v>
      </c>
      <c r="Y41" s="327"/>
    </row>
    <row r="42" spans="1:25" s="6" customFormat="1" ht="18" hidden="1">
      <c r="A42" s="8"/>
      <c r="B42" s="224" t="s">
        <v>115</v>
      </c>
      <c r="C42" s="221">
        <v>18020000</v>
      </c>
      <c r="D42" s="221"/>
      <c r="E42" s="162">
        <v>0</v>
      </c>
      <c r="F42" s="162">
        <f>E42</f>
        <v>0</v>
      </c>
      <c r="G42" s="198">
        <v>0</v>
      </c>
      <c r="H42" s="150">
        <f t="shared" si="9"/>
        <v>0</v>
      </c>
      <c r="I42" s="339"/>
      <c r="J42" s="158">
        <f t="shared" si="1"/>
        <v>0</v>
      </c>
      <c r="K42" s="158"/>
      <c r="L42" s="158"/>
      <c r="M42" s="158"/>
      <c r="N42" s="158"/>
      <c r="O42" s="158">
        <v>0.2</v>
      </c>
      <c r="P42" s="158">
        <f t="shared" si="16"/>
        <v>-0.2</v>
      </c>
      <c r="Q42" s="209">
        <f t="shared" si="17"/>
        <v>0</v>
      </c>
      <c r="R42" s="167">
        <v>0.2</v>
      </c>
      <c r="S42" s="158">
        <f t="shared" si="5"/>
        <v>-0.2</v>
      </c>
      <c r="T42" s="209"/>
      <c r="U42" s="157">
        <f t="shared" si="10"/>
        <v>0</v>
      </c>
      <c r="V42" s="160">
        <f t="shared" si="11"/>
        <v>0</v>
      </c>
      <c r="W42" s="161">
        <f t="shared" si="12"/>
        <v>0</v>
      </c>
      <c r="X42" s="209"/>
      <c r="Y42" s="327">
        <f t="shared" si="20"/>
        <v>0</v>
      </c>
    </row>
    <row r="43" spans="1:25" s="6" customFormat="1" ht="18">
      <c r="A43" s="8"/>
      <c r="B43" s="44" t="s">
        <v>82</v>
      </c>
      <c r="C43" s="114">
        <v>18030000</v>
      </c>
      <c r="D43" s="412">
        <f>D44+D45</f>
        <v>174.4</v>
      </c>
      <c r="E43" s="150">
        <f>E44+E45</f>
        <v>174.4</v>
      </c>
      <c r="F43" s="150">
        <f>F44+F45</f>
        <v>10.43</v>
      </c>
      <c r="G43" s="156">
        <v>10.43</v>
      </c>
      <c r="H43" s="150">
        <f t="shared" si="9"/>
        <v>0</v>
      </c>
      <c r="I43" s="339">
        <f>G43/F43</f>
        <v>1</v>
      </c>
      <c r="J43" s="158">
        <f t="shared" si="1"/>
        <v>-163.97</v>
      </c>
      <c r="K43" s="209">
        <f>G43/E43</f>
        <v>0.05980504587155963</v>
      </c>
      <c r="L43" s="158"/>
      <c r="M43" s="158"/>
      <c r="N43" s="158"/>
      <c r="O43" s="158">
        <v>156.82</v>
      </c>
      <c r="P43" s="158">
        <f t="shared" si="16"/>
        <v>17.580000000000013</v>
      </c>
      <c r="Q43" s="209">
        <f t="shared" si="17"/>
        <v>1.112103048080602</v>
      </c>
      <c r="R43" s="167">
        <v>13.06</v>
      </c>
      <c r="S43" s="158">
        <f t="shared" si="5"/>
        <v>-2.630000000000001</v>
      </c>
      <c r="T43" s="209">
        <f aca="true" t="shared" si="23" ref="T43:T51">G43/R43</f>
        <v>0.7986217457886676</v>
      </c>
      <c r="U43" s="157">
        <f t="shared" si="10"/>
        <v>10.43</v>
      </c>
      <c r="V43" s="160">
        <f t="shared" si="11"/>
        <v>10.43</v>
      </c>
      <c r="W43" s="161">
        <f t="shared" si="12"/>
        <v>0</v>
      </c>
      <c r="X43" s="209">
        <f>V43/U43</f>
        <v>1</v>
      </c>
      <c r="Y43" s="327">
        <f t="shared" si="20"/>
        <v>-0.3134813022919344</v>
      </c>
    </row>
    <row r="44" spans="1:25" s="6" customFormat="1" ht="15" hidden="1">
      <c r="A44" s="8"/>
      <c r="B44" s="50" t="s">
        <v>167</v>
      </c>
      <c r="C44" s="102">
        <v>18031000</v>
      </c>
      <c r="D44" s="409">
        <v>100.9</v>
      </c>
      <c r="E44" s="103">
        <v>100.9</v>
      </c>
      <c r="F44" s="103">
        <v>9.9</v>
      </c>
      <c r="G44" s="140">
        <v>9.9</v>
      </c>
      <c r="H44" s="103">
        <f t="shared" si="9"/>
        <v>0</v>
      </c>
      <c r="I44" s="340">
        <f>G44/F44</f>
        <v>1</v>
      </c>
      <c r="J44" s="104">
        <f t="shared" si="1"/>
        <v>-91</v>
      </c>
      <c r="K44" s="109">
        <f>G44/E44</f>
        <v>0.0981169474727453</v>
      </c>
      <c r="L44" s="104"/>
      <c r="M44" s="104"/>
      <c r="N44" s="104"/>
      <c r="O44" s="104">
        <v>95.14</v>
      </c>
      <c r="P44" s="104">
        <f t="shared" si="16"/>
        <v>5.760000000000005</v>
      </c>
      <c r="Q44" s="109">
        <f t="shared" si="17"/>
        <v>1.0605423586293883</v>
      </c>
      <c r="R44" s="104">
        <v>5.51</v>
      </c>
      <c r="S44" s="104">
        <f t="shared" si="5"/>
        <v>4.390000000000001</v>
      </c>
      <c r="T44" s="109">
        <f t="shared" si="23"/>
        <v>1.7967332123411979</v>
      </c>
      <c r="U44" s="105">
        <f t="shared" si="10"/>
        <v>9.9</v>
      </c>
      <c r="V44" s="144">
        <f t="shared" si="11"/>
        <v>9.9</v>
      </c>
      <c r="W44" s="106">
        <f t="shared" si="12"/>
        <v>0</v>
      </c>
      <c r="X44" s="109">
        <f>V44/U44</f>
        <v>1</v>
      </c>
      <c r="Y44" s="327"/>
    </row>
    <row r="45" spans="1:25" s="6" customFormat="1" ht="15" hidden="1">
      <c r="A45" s="8"/>
      <c r="B45" s="50" t="s">
        <v>168</v>
      </c>
      <c r="C45" s="102">
        <v>18031100</v>
      </c>
      <c r="D45" s="409">
        <v>73.5</v>
      </c>
      <c r="E45" s="103">
        <v>73.5</v>
      </c>
      <c r="F45" s="103">
        <v>0.53</v>
      </c>
      <c r="G45" s="140">
        <v>0.53</v>
      </c>
      <c r="H45" s="103">
        <f t="shared" si="9"/>
        <v>0</v>
      </c>
      <c r="I45" s="340">
        <f>G45/F45</f>
        <v>1</v>
      </c>
      <c r="J45" s="104">
        <f t="shared" si="1"/>
        <v>-72.97</v>
      </c>
      <c r="K45" s="109">
        <f>G45/E45</f>
        <v>0.007210884353741497</v>
      </c>
      <c r="L45" s="104"/>
      <c r="M45" s="104"/>
      <c r="N45" s="104"/>
      <c r="O45" s="104">
        <v>61.68</v>
      </c>
      <c r="P45" s="104">
        <f t="shared" si="16"/>
        <v>11.82</v>
      </c>
      <c r="Q45" s="109">
        <f t="shared" si="17"/>
        <v>1.1916342412451362</v>
      </c>
      <c r="R45" s="104">
        <v>7.56</v>
      </c>
      <c r="S45" s="104">
        <f t="shared" si="5"/>
        <v>-7.029999999999999</v>
      </c>
      <c r="T45" s="109">
        <f t="shared" si="23"/>
        <v>0.07010582010582012</v>
      </c>
      <c r="U45" s="105">
        <f t="shared" si="10"/>
        <v>0.53</v>
      </c>
      <c r="V45" s="144">
        <f t="shared" si="11"/>
        <v>0.53</v>
      </c>
      <c r="W45" s="106">
        <f t="shared" si="12"/>
        <v>0</v>
      </c>
      <c r="X45" s="109">
        <f>V45/U45</f>
        <v>1</v>
      </c>
      <c r="Y45" s="327"/>
    </row>
    <row r="46" spans="1:25" s="6" customFormat="1" ht="30.75">
      <c r="A46" s="8"/>
      <c r="B46" s="224" t="s">
        <v>83</v>
      </c>
      <c r="C46" s="114">
        <v>18040000</v>
      </c>
      <c r="D46" s="114"/>
      <c r="E46" s="150"/>
      <c r="F46" s="150"/>
      <c r="G46" s="156">
        <v>-0.91</v>
      </c>
      <c r="H46" s="150">
        <f t="shared" si="9"/>
        <v>-0.91</v>
      </c>
      <c r="I46" s="339"/>
      <c r="J46" s="158">
        <f t="shared" si="1"/>
        <v>-0.91</v>
      </c>
      <c r="K46" s="209"/>
      <c r="L46" s="158"/>
      <c r="M46" s="158"/>
      <c r="N46" s="158"/>
      <c r="O46" s="158">
        <v>-50.78</v>
      </c>
      <c r="P46" s="158">
        <f t="shared" si="16"/>
        <v>50.78</v>
      </c>
      <c r="Q46" s="209">
        <f t="shared" si="17"/>
        <v>0</v>
      </c>
      <c r="R46" s="158">
        <v>-2.93</v>
      </c>
      <c r="S46" s="158">
        <f t="shared" si="5"/>
        <v>2.02</v>
      </c>
      <c r="T46" s="209">
        <f t="shared" si="23"/>
        <v>0.310580204778157</v>
      </c>
      <c r="U46" s="157">
        <f t="shared" si="10"/>
        <v>0</v>
      </c>
      <c r="V46" s="160">
        <f t="shared" si="11"/>
        <v>-0.91</v>
      </c>
      <c r="W46" s="161">
        <f t="shared" si="12"/>
        <v>-0.91</v>
      </c>
      <c r="X46" s="209"/>
      <c r="Y46" s="327">
        <f t="shared" si="20"/>
        <v>0.310580204778157</v>
      </c>
    </row>
    <row r="47" spans="1:25" s="6" customFormat="1" ht="18">
      <c r="A47" s="8"/>
      <c r="B47" s="44" t="s">
        <v>84</v>
      </c>
      <c r="C47" s="114">
        <v>18050000</v>
      </c>
      <c r="D47" s="412">
        <f>D48+D49+D50+D51</f>
        <v>254550.8</v>
      </c>
      <c r="E47" s="162">
        <v>254550.8</v>
      </c>
      <c r="F47" s="162">
        <f>F48+F49+F50+F51</f>
        <v>25046.16</v>
      </c>
      <c r="G47" s="163">
        <v>25046.2</v>
      </c>
      <c r="H47" s="150">
        <f t="shared" si="9"/>
        <v>0.040000000000873115</v>
      </c>
      <c r="I47" s="339">
        <f>G47/F47*100</f>
        <v>100.00015970512047</v>
      </c>
      <c r="J47" s="158">
        <f t="shared" si="1"/>
        <v>-229504.59999999998</v>
      </c>
      <c r="K47" s="209">
        <f>G47/E47</f>
        <v>0.09839371944617735</v>
      </c>
      <c r="L47" s="158"/>
      <c r="M47" s="158"/>
      <c r="N47" s="158"/>
      <c r="O47" s="158">
        <v>223368.23</v>
      </c>
      <c r="P47" s="158">
        <f t="shared" si="16"/>
        <v>31182.569999999978</v>
      </c>
      <c r="Q47" s="209">
        <f t="shared" si="17"/>
        <v>1.139601634484904</v>
      </c>
      <c r="R47" s="177">
        <v>20649.68</v>
      </c>
      <c r="S47" s="177">
        <f t="shared" si="5"/>
        <v>4396.52</v>
      </c>
      <c r="T47" s="225">
        <f t="shared" si="23"/>
        <v>1.2129098368594573</v>
      </c>
      <c r="U47" s="157">
        <f t="shared" si="10"/>
        <v>25046.16</v>
      </c>
      <c r="V47" s="160">
        <f t="shared" si="11"/>
        <v>25046.2</v>
      </c>
      <c r="W47" s="161">
        <f t="shared" si="12"/>
        <v>0.040000000000873115</v>
      </c>
      <c r="X47" s="209">
        <f>V47/U47</f>
        <v>1.0000015970512046</v>
      </c>
      <c r="Y47" s="327">
        <f t="shared" si="20"/>
        <v>0.07330820237455327</v>
      </c>
    </row>
    <row r="48" spans="1:25" s="6" customFormat="1" ht="15" customHeight="1">
      <c r="A48" s="8"/>
      <c r="B48" s="50" t="s">
        <v>90</v>
      </c>
      <c r="C48" s="102">
        <v>18050200</v>
      </c>
      <c r="D48" s="409"/>
      <c r="E48" s="103"/>
      <c r="F48" s="103">
        <f>E48</f>
        <v>0</v>
      </c>
      <c r="G48" s="140">
        <v>0.01</v>
      </c>
      <c r="H48" s="103">
        <f>G48-F48</f>
        <v>0.01</v>
      </c>
      <c r="I48" s="340"/>
      <c r="J48" s="104">
        <f t="shared" si="1"/>
        <v>0.01</v>
      </c>
      <c r="K48" s="109"/>
      <c r="L48" s="104"/>
      <c r="M48" s="104"/>
      <c r="N48" s="104"/>
      <c r="O48" s="104">
        <v>0.01</v>
      </c>
      <c r="P48" s="104">
        <f t="shared" si="16"/>
        <v>-0.01</v>
      </c>
      <c r="Q48" s="109">
        <f t="shared" si="17"/>
        <v>0</v>
      </c>
      <c r="R48" s="127">
        <f>O48</f>
        <v>0.01</v>
      </c>
      <c r="S48" s="127">
        <f t="shared" si="5"/>
        <v>0</v>
      </c>
      <c r="T48" s="215">
        <f t="shared" si="23"/>
        <v>1</v>
      </c>
      <c r="U48" s="105">
        <f t="shared" si="10"/>
        <v>0</v>
      </c>
      <c r="V48" s="144">
        <f t="shared" si="11"/>
        <v>0.01</v>
      </c>
      <c r="W48" s="106">
        <f t="shared" si="12"/>
        <v>0.01</v>
      </c>
      <c r="X48" s="109"/>
      <c r="Y48" s="327">
        <f t="shared" si="20"/>
        <v>1</v>
      </c>
    </row>
    <row r="49" spans="1:25" s="6" customFormat="1" ht="15" customHeight="1">
      <c r="A49" s="8"/>
      <c r="B49" s="50" t="s">
        <v>91</v>
      </c>
      <c r="C49" s="102">
        <v>18050300</v>
      </c>
      <c r="D49" s="409">
        <v>55715</v>
      </c>
      <c r="E49" s="103">
        <v>55715</v>
      </c>
      <c r="F49" s="103">
        <v>3883.87</v>
      </c>
      <c r="G49" s="140">
        <v>3883.87</v>
      </c>
      <c r="H49" s="103">
        <f>G49-F49</f>
        <v>0</v>
      </c>
      <c r="I49" s="340">
        <f>G49/F49</f>
        <v>1</v>
      </c>
      <c r="J49" s="104">
        <f t="shared" si="1"/>
        <v>-51831.13</v>
      </c>
      <c r="K49" s="109">
        <f>G49/E49</f>
        <v>0.06970959346675043</v>
      </c>
      <c r="L49" s="104"/>
      <c r="M49" s="104"/>
      <c r="N49" s="104"/>
      <c r="O49" s="104">
        <v>45030.34</v>
      </c>
      <c r="P49" s="104">
        <f t="shared" si="16"/>
        <v>10684.660000000003</v>
      </c>
      <c r="Q49" s="109">
        <f t="shared" si="17"/>
        <v>1.2372769115223203</v>
      </c>
      <c r="R49" s="127">
        <v>3585.03</v>
      </c>
      <c r="S49" s="127">
        <f t="shared" si="5"/>
        <v>298.8399999999997</v>
      </c>
      <c r="T49" s="215">
        <f t="shared" si="23"/>
        <v>1.0833577403815309</v>
      </c>
      <c r="U49" s="105">
        <f t="shared" si="10"/>
        <v>3883.87</v>
      </c>
      <c r="V49" s="144">
        <f t="shared" si="11"/>
        <v>3883.87</v>
      </c>
      <c r="W49" s="106">
        <f t="shared" si="12"/>
        <v>0</v>
      </c>
      <c r="X49" s="109">
        <f>V49/U49</f>
        <v>1</v>
      </c>
      <c r="Y49" s="327">
        <f t="shared" si="20"/>
        <v>-0.15391917114078946</v>
      </c>
    </row>
    <row r="50" spans="1:25" s="6" customFormat="1" ht="15" customHeight="1">
      <c r="A50" s="8"/>
      <c r="B50" s="50" t="s">
        <v>92</v>
      </c>
      <c r="C50" s="102">
        <v>18050400</v>
      </c>
      <c r="D50" s="409">
        <v>198755</v>
      </c>
      <c r="E50" s="103">
        <v>198755</v>
      </c>
      <c r="F50" s="103">
        <v>21140.49</v>
      </c>
      <c r="G50" s="140">
        <v>21140.49</v>
      </c>
      <c r="H50" s="103">
        <f>G50-F50</f>
        <v>0</v>
      </c>
      <c r="I50" s="340">
        <f>G50/F50</f>
        <v>1</v>
      </c>
      <c r="J50" s="104">
        <f t="shared" si="1"/>
        <v>-177614.51</v>
      </c>
      <c r="K50" s="109">
        <f>G50/E50</f>
        <v>0.10636456944479385</v>
      </c>
      <c r="L50" s="104"/>
      <c r="M50" s="104"/>
      <c r="N50" s="104"/>
      <c r="O50" s="104">
        <v>178270.24</v>
      </c>
      <c r="P50" s="104">
        <f t="shared" si="16"/>
        <v>20484.76000000001</v>
      </c>
      <c r="Q50" s="109">
        <f t="shared" si="17"/>
        <v>1.11490846705541</v>
      </c>
      <c r="R50" s="127">
        <v>17048.54</v>
      </c>
      <c r="S50" s="127">
        <f t="shared" si="5"/>
        <v>4091.9500000000007</v>
      </c>
      <c r="T50" s="215">
        <f t="shared" si="23"/>
        <v>1.2400176202771616</v>
      </c>
      <c r="U50" s="105">
        <f t="shared" si="10"/>
        <v>21140.49</v>
      </c>
      <c r="V50" s="144">
        <f t="shared" si="11"/>
        <v>21140.49</v>
      </c>
      <c r="W50" s="106">
        <f t="shared" si="12"/>
        <v>0</v>
      </c>
      <c r="X50" s="109">
        <f>V50/U50</f>
        <v>1</v>
      </c>
      <c r="Y50" s="327">
        <f t="shared" si="20"/>
        <v>0.12510915322175165</v>
      </c>
    </row>
    <row r="51" spans="1:25" s="6" customFormat="1" ht="15" customHeight="1">
      <c r="A51" s="8"/>
      <c r="B51" s="50" t="s">
        <v>93</v>
      </c>
      <c r="C51" s="102">
        <v>18050500</v>
      </c>
      <c r="D51" s="409">
        <v>80.8</v>
      </c>
      <c r="E51" s="103">
        <v>80.8</v>
      </c>
      <c r="F51" s="103">
        <v>21.8</v>
      </c>
      <c r="G51" s="140">
        <v>21.84</v>
      </c>
      <c r="H51" s="103">
        <f>G51-F51</f>
        <v>0.03999999999999915</v>
      </c>
      <c r="I51" s="340">
        <f>G51/F51</f>
        <v>1.001834862385321</v>
      </c>
      <c r="J51" s="104">
        <f t="shared" si="1"/>
        <v>-58.959999999999994</v>
      </c>
      <c r="K51" s="109">
        <f>G51/E51</f>
        <v>0.2702970297029703</v>
      </c>
      <c r="L51" s="104"/>
      <c r="M51" s="104"/>
      <c r="N51" s="104"/>
      <c r="O51" s="104">
        <v>67.63</v>
      </c>
      <c r="P51" s="104">
        <f t="shared" si="16"/>
        <v>13.170000000000002</v>
      </c>
      <c r="Q51" s="109">
        <f t="shared" si="17"/>
        <v>1.1947360638769777</v>
      </c>
      <c r="R51" s="127">
        <v>16.11</v>
      </c>
      <c r="S51" s="127">
        <f t="shared" si="5"/>
        <v>5.73</v>
      </c>
      <c r="T51" s="215">
        <f t="shared" si="23"/>
        <v>1.3556797020484173</v>
      </c>
      <c r="U51" s="105">
        <f t="shared" si="10"/>
        <v>21.8</v>
      </c>
      <c r="V51" s="144">
        <f t="shared" si="11"/>
        <v>21.84</v>
      </c>
      <c r="W51" s="106">
        <f t="shared" si="12"/>
        <v>0.03999999999999915</v>
      </c>
      <c r="X51" s="109">
        <f>V51/U51</f>
        <v>1.001834862385321</v>
      </c>
      <c r="Y51" s="327">
        <f t="shared" si="20"/>
        <v>0.16094363817143953</v>
      </c>
    </row>
    <row r="52" spans="1:25" s="6" customFormat="1" ht="15" customHeight="1">
      <c r="A52" s="8"/>
      <c r="B52" s="231"/>
      <c r="C52" s="43"/>
      <c r="D52" s="43"/>
      <c r="E52" s="34">
        <v>0</v>
      </c>
      <c r="F52" s="34">
        <f>E52</f>
        <v>0</v>
      </c>
      <c r="G52" s="264">
        <v>0</v>
      </c>
      <c r="H52" s="34">
        <f>G52-F52</f>
        <v>0</v>
      </c>
      <c r="I52" s="339"/>
      <c r="J52" s="119">
        <f t="shared" si="1"/>
        <v>0</v>
      </c>
      <c r="K52" s="94"/>
      <c r="L52" s="37"/>
      <c r="M52" s="37"/>
      <c r="N52" s="37"/>
      <c r="O52" s="37"/>
      <c r="P52" s="37"/>
      <c r="Q52" s="94"/>
      <c r="R52" s="119">
        <v>0</v>
      </c>
      <c r="S52" s="119">
        <f t="shared" si="5"/>
        <v>0</v>
      </c>
      <c r="T52" s="216"/>
      <c r="U52" s="137">
        <f t="shared" si="10"/>
        <v>0</v>
      </c>
      <c r="V52" s="145">
        <f t="shared" si="11"/>
        <v>0</v>
      </c>
      <c r="W52" s="161">
        <f t="shared" si="12"/>
        <v>0</v>
      </c>
      <c r="X52" s="94"/>
      <c r="Y52" s="327">
        <f t="shared" si="20"/>
        <v>0</v>
      </c>
    </row>
    <row r="53" spans="1:25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47248.9</v>
      </c>
      <c r="E53" s="151">
        <f>E54+E55+E56+E57+E58+E60+E62+E63+E64+E65+E66+E71+E72+E76+E59+E61</f>
        <v>47248.9</v>
      </c>
      <c r="F53" s="151">
        <f>F54+F55+F56+F57+F58+F60+F62+F63+F64+F65+F66+F71+F72+F76+F59+F61</f>
        <v>3247.7599999999998</v>
      </c>
      <c r="G53" s="151">
        <f>G54+G55+G56+G57+G58+G60+G62+G63+G64+G65+G66+G71+G72+G76+G59+G61</f>
        <v>3247.7599999999993</v>
      </c>
      <c r="H53" s="151">
        <f>H54+H55+H56+H57+H58+H60+H62+H63+H64+H65+H66+H71+H72+H76+H59+H61</f>
        <v>-9.325873406851315E-14</v>
      </c>
      <c r="I53" s="204">
        <f aca="true" t="shared" si="24" ref="I53:I72">G53/F53</f>
        <v>0.9999999999999999</v>
      </c>
      <c r="J53" s="153">
        <f>G53-E53</f>
        <v>-44001.14</v>
      </c>
      <c r="K53" s="218">
        <f aca="true" t="shared" si="25" ref="K53:K72">G53/E53</f>
        <v>0.06873726160820673</v>
      </c>
      <c r="L53" s="153"/>
      <c r="M53" s="153"/>
      <c r="N53" s="153"/>
      <c r="O53" s="153">
        <v>69380.98</v>
      </c>
      <c r="P53" s="153">
        <f>E53-O53</f>
        <v>-22132.079999999994</v>
      </c>
      <c r="Q53" s="218">
        <f>E53/O53</f>
        <v>0.681006523689922</v>
      </c>
      <c r="R53" s="262">
        <v>4227.73</v>
      </c>
      <c r="S53" s="151">
        <f t="shared" si="5"/>
        <v>-979.9700000000003</v>
      </c>
      <c r="T53" s="204">
        <f>G53/R53</f>
        <v>0.7682042136087214</v>
      </c>
      <c r="U53" s="151">
        <f>U54+U55+U56+U57+U58+U60+U62+U63+U64+U65+U66+U71+U72+U76+U59+U61</f>
        <v>3247.7599999999998</v>
      </c>
      <c r="V53" s="151">
        <f>V54+V55+V56+V57+V58+V60+V62+V63+V64+V65+V66+V71+V72+V76+V59+V61</f>
        <v>3247.7599999999993</v>
      </c>
      <c r="W53" s="151">
        <f>W54+W55+W56+W57+W58+W60+W62+W63+W64+W65+W66+W71+W72+W76</f>
        <v>6.549999999999907</v>
      </c>
      <c r="X53" s="204">
        <f>V53/U53</f>
        <v>0.9999999999999999</v>
      </c>
      <c r="Y53" s="327">
        <f t="shared" si="20"/>
        <v>0.08719768991879939</v>
      </c>
    </row>
    <row r="54" spans="1:25" s="6" customFormat="1" ht="46.5">
      <c r="A54" s="8"/>
      <c r="B54" s="224" t="s">
        <v>98</v>
      </c>
      <c r="C54" s="43">
        <v>21010301</v>
      </c>
      <c r="D54" s="412">
        <v>2650</v>
      </c>
      <c r="E54" s="150">
        <v>2650</v>
      </c>
      <c r="F54" s="150">
        <v>1.11</v>
      </c>
      <c r="G54" s="156">
        <v>1.11</v>
      </c>
      <c r="H54" s="150">
        <f aca="true" t="shared" si="26" ref="H54:H78">G54-F54</f>
        <v>0</v>
      </c>
      <c r="I54" s="344">
        <f t="shared" si="24"/>
        <v>1</v>
      </c>
      <c r="J54" s="165">
        <f>G54-E54</f>
        <v>-2648.89</v>
      </c>
      <c r="K54" s="217">
        <f t="shared" si="25"/>
        <v>0.0004188679245283019</v>
      </c>
      <c r="L54" s="165"/>
      <c r="M54" s="165"/>
      <c r="N54" s="165"/>
      <c r="O54" s="165">
        <v>2633.96</v>
      </c>
      <c r="P54" s="165">
        <f>E54-O54</f>
        <v>16.039999999999964</v>
      </c>
      <c r="Q54" s="217">
        <f>E54/O54</f>
        <v>1.0060896900484442</v>
      </c>
      <c r="R54" s="165">
        <v>8.18</v>
      </c>
      <c r="S54" s="165">
        <f t="shared" si="5"/>
        <v>-7.069999999999999</v>
      </c>
      <c r="T54" s="217">
        <f>G54/R54</f>
        <v>0.13569682151589244</v>
      </c>
      <c r="U54" s="157">
        <f>F54</f>
        <v>1.11</v>
      </c>
      <c r="V54" s="160">
        <f>G54</f>
        <v>1.11</v>
      </c>
      <c r="W54" s="161">
        <f aca="true" t="shared" si="27" ref="W54:W78">V54-U54</f>
        <v>0</v>
      </c>
      <c r="X54" s="217">
        <f>V54/U54</f>
        <v>1</v>
      </c>
      <c r="Y54" s="327">
        <f t="shared" si="20"/>
        <v>-0.8703928685325517</v>
      </c>
    </row>
    <row r="55" spans="1:32" s="6" customFormat="1" ht="30.75">
      <c r="A55" s="8"/>
      <c r="B55" s="129" t="s">
        <v>77</v>
      </c>
      <c r="C55" s="42">
        <v>21050000</v>
      </c>
      <c r="D55" s="426">
        <v>5000</v>
      </c>
      <c r="E55" s="150">
        <v>5000</v>
      </c>
      <c r="F55" s="150">
        <v>0</v>
      </c>
      <c r="G55" s="156">
        <v>0</v>
      </c>
      <c r="H55" s="150">
        <f t="shared" si="26"/>
        <v>0</v>
      </c>
      <c r="I55" s="344" t="e">
        <f t="shared" si="24"/>
        <v>#DIV/0!</v>
      </c>
      <c r="J55" s="165">
        <f aca="true" t="shared" si="28" ref="J55:J78">G55-E55</f>
        <v>-5000</v>
      </c>
      <c r="K55" s="217">
        <f t="shared" si="25"/>
        <v>0</v>
      </c>
      <c r="L55" s="165"/>
      <c r="M55" s="165"/>
      <c r="N55" s="165"/>
      <c r="O55" s="165">
        <v>27997.6</v>
      </c>
      <c r="P55" s="165">
        <f aca="true" t="shared" si="29" ref="P55:P72">E55-O55</f>
        <v>-22997.6</v>
      </c>
      <c r="Q55" s="217">
        <f aca="true" t="shared" si="30" ref="Q55:Q72">E55/O55</f>
        <v>0.17858673600594338</v>
      </c>
      <c r="R55" s="165">
        <v>0</v>
      </c>
      <c r="S55" s="165">
        <f t="shared" si="5"/>
        <v>0</v>
      </c>
      <c r="T55" s="217" t="e">
        <f aca="true" t="shared" si="31" ref="T55:T78">G55/R55</f>
        <v>#DIV/0!</v>
      </c>
      <c r="U55" s="157">
        <f aca="true" t="shared" si="32" ref="U55:U66">F55</f>
        <v>0</v>
      </c>
      <c r="V55" s="160">
        <f aca="true" t="shared" si="33" ref="V55:V66">G55</f>
        <v>0</v>
      </c>
      <c r="W55" s="161">
        <f t="shared" si="27"/>
        <v>0</v>
      </c>
      <c r="X55" s="217" t="e">
        <f aca="true" t="shared" si="34" ref="X55:X77">V55/U55</f>
        <v>#DIV/0!</v>
      </c>
      <c r="Y55" s="327" t="e">
        <f t="shared" si="20"/>
        <v>#DIV/0!</v>
      </c>
      <c r="AF55" s="147"/>
    </row>
    <row r="56" spans="1:25" s="6" customFormat="1" ht="18">
      <c r="A56" s="8"/>
      <c r="B56" s="129" t="s">
        <v>61</v>
      </c>
      <c r="C56" s="42">
        <v>21080500</v>
      </c>
      <c r="D56" s="426">
        <v>158</v>
      </c>
      <c r="E56" s="150">
        <v>158</v>
      </c>
      <c r="F56" s="150">
        <v>0</v>
      </c>
      <c r="G56" s="156">
        <v>0</v>
      </c>
      <c r="H56" s="150">
        <f t="shared" si="26"/>
        <v>0</v>
      </c>
      <c r="I56" s="344" t="e">
        <f t="shared" si="24"/>
        <v>#DIV/0!</v>
      </c>
      <c r="J56" s="165">
        <f t="shared" si="28"/>
        <v>-158</v>
      </c>
      <c r="K56" s="217">
        <f t="shared" si="25"/>
        <v>0</v>
      </c>
      <c r="L56" s="165"/>
      <c r="M56" s="165"/>
      <c r="N56" s="165"/>
      <c r="O56" s="165">
        <v>153.3</v>
      </c>
      <c r="P56" s="165">
        <f t="shared" si="29"/>
        <v>4.699999999999989</v>
      </c>
      <c r="Q56" s="217">
        <f t="shared" si="30"/>
        <v>1.030658838878017</v>
      </c>
      <c r="R56" s="165">
        <v>14.87</v>
      </c>
      <c r="S56" s="165">
        <f t="shared" si="5"/>
        <v>-14.87</v>
      </c>
      <c r="T56" s="217">
        <f t="shared" si="31"/>
        <v>0</v>
      </c>
      <c r="U56" s="157">
        <f t="shared" si="32"/>
        <v>0</v>
      </c>
      <c r="V56" s="160">
        <f t="shared" si="33"/>
        <v>0</v>
      </c>
      <c r="W56" s="161">
        <f t="shared" si="27"/>
        <v>0</v>
      </c>
      <c r="X56" s="217" t="e">
        <f t="shared" si="34"/>
        <v>#DIV/0!</v>
      </c>
      <c r="Y56" s="327">
        <f t="shared" si="20"/>
        <v>-1.030658838878017</v>
      </c>
    </row>
    <row r="57" spans="1:25" s="6" customFormat="1" ht="31.5">
      <c r="A57" s="8"/>
      <c r="B57" s="235" t="s">
        <v>39</v>
      </c>
      <c r="C57" s="71">
        <v>21080900</v>
      </c>
      <c r="D57" s="427">
        <v>13</v>
      </c>
      <c r="E57" s="150">
        <v>13</v>
      </c>
      <c r="F57" s="150">
        <v>2</v>
      </c>
      <c r="G57" s="156">
        <v>2.02</v>
      </c>
      <c r="H57" s="150">
        <f t="shared" si="26"/>
        <v>0.020000000000000018</v>
      </c>
      <c r="I57" s="344">
        <f t="shared" si="24"/>
        <v>1.01</v>
      </c>
      <c r="J57" s="165">
        <f t="shared" si="28"/>
        <v>-10.98</v>
      </c>
      <c r="K57" s="217">
        <f t="shared" si="25"/>
        <v>0.1553846153846154</v>
      </c>
      <c r="L57" s="165"/>
      <c r="M57" s="165"/>
      <c r="N57" s="165"/>
      <c r="O57" s="165">
        <v>12.95</v>
      </c>
      <c r="P57" s="165">
        <f t="shared" si="29"/>
        <v>0.05000000000000071</v>
      </c>
      <c r="Q57" s="356">
        <f t="shared" si="30"/>
        <v>1.0038610038610039</v>
      </c>
      <c r="R57" s="165">
        <v>0</v>
      </c>
      <c r="S57" s="165">
        <f t="shared" si="5"/>
        <v>2.02</v>
      </c>
      <c r="T57" s="217"/>
      <c r="U57" s="157">
        <f t="shared" si="32"/>
        <v>2</v>
      </c>
      <c r="V57" s="160">
        <f t="shared" si="33"/>
        <v>2.02</v>
      </c>
      <c r="W57" s="161">
        <f t="shared" si="27"/>
        <v>0.020000000000000018</v>
      </c>
      <c r="X57" s="217">
        <f t="shared" si="34"/>
        <v>1.01</v>
      </c>
      <c r="Y57" s="327">
        <f t="shared" si="20"/>
        <v>-1.0038610038610039</v>
      </c>
    </row>
    <row r="58" spans="1:25" s="6" customFormat="1" ht="18">
      <c r="A58" s="8"/>
      <c r="B58" s="130" t="s">
        <v>16</v>
      </c>
      <c r="C58" s="72">
        <v>21081100</v>
      </c>
      <c r="D58" s="428">
        <v>744</v>
      </c>
      <c r="E58" s="150">
        <v>744</v>
      </c>
      <c r="F58" s="150">
        <v>28.43</v>
      </c>
      <c r="G58" s="156">
        <v>28.43</v>
      </c>
      <c r="H58" s="150">
        <f t="shared" si="26"/>
        <v>0</v>
      </c>
      <c r="I58" s="344">
        <f t="shared" si="24"/>
        <v>1</v>
      </c>
      <c r="J58" s="165">
        <f t="shared" si="28"/>
        <v>-715.57</v>
      </c>
      <c r="K58" s="217">
        <f t="shared" si="25"/>
        <v>0.03821236559139785</v>
      </c>
      <c r="L58" s="165"/>
      <c r="M58" s="165"/>
      <c r="N58" s="165"/>
      <c r="O58" s="165">
        <v>705.31</v>
      </c>
      <c r="P58" s="165">
        <f t="shared" si="29"/>
        <v>38.690000000000055</v>
      </c>
      <c r="Q58" s="217">
        <f t="shared" si="30"/>
        <v>1.0548553118486907</v>
      </c>
      <c r="R58" s="165">
        <v>11.17</v>
      </c>
      <c r="S58" s="165">
        <f t="shared" si="5"/>
        <v>17.259999999999998</v>
      </c>
      <c r="T58" s="217">
        <f t="shared" si="31"/>
        <v>2.5452103849597134</v>
      </c>
      <c r="U58" s="157">
        <f t="shared" si="32"/>
        <v>28.43</v>
      </c>
      <c r="V58" s="160">
        <f t="shared" si="33"/>
        <v>28.43</v>
      </c>
      <c r="W58" s="161">
        <f t="shared" si="27"/>
        <v>0</v>
      </c>
      <c r="X58" s="217">
        <f t="shared" si="34"/>
        <v>1</v>
      </c>
      <c r="Y58" s="327">
        <f t="shared" si="20"/>
        <v>1.4903550731110227</v>
      </c>
    </row>
    <row r="59" spans="1:25" s="6" customFormat="1" ht="46.5">
      <c r="A59" s="8"/>
      <c r="B59" s="313" t="s">
        <v>80</v>
      </c>
      <c r="C59" s="72">
        <v>21081500</v>
      </c>
      <c r="D59" s="428">
        <v>115.5</v>
      </c>
      <c r="E59" s="150">
        <v>115.5</v>
      </c>
      <c r="F59" s="150">
        <v>0</v>
      </c>
      <c r="G59" s="156">
        <v>-6.55</v>
      </c>
      <c r="H59" s="150">
        <f t="shared" si="26"/>
        <v>-6.55</v>
      </c>
      <c r="I59" s="344" t="e">
        <f t="shared" si="24"/>
        <v>#DIV/0!</v>
      </c>
      <c r="J59" s="165">
        <f t="shared" si="28"/>
        <v>-122.05</v>
      </c>
      <c r="K59" s="217">
        <f t="shared" si="25"/>
        <v>-0.05670995670995671</v>
      </c>
      <c r="L59" s="165"/>
      <c r="M59" s="165"/>
      <c r="N59" s="165"/>
      <c r="O59" s="165">
        <v>114.3</v>
      </c>
      <c r="P59" s="165">
        <f t="shared" si="29"/>
        <v>1.2000000000000028</v>
      </c>
      <c r="Q59" s="217">
        <f t="shared" si="30"/>
        <v>1.010498687664042</v>
      </c>
      <c r="R59" s="165">
        <v>0</v>
      </c>
      <c r="S59" s="165">
        <f t="shared" si="5"/>
        <v>-6.55</v>
      </c>
      <c r="T59" s="217" t="e">
        <f t="shared" si="31"/>
        <v>#DIV/0!</v>
      </c>
      <c r="U59" s="157">
        <f t="shared" si="32"/>
        <v>0</v>
      </c>
      <c r="V59" s="160">
        <f t="shared" si="33"/>
        <v>-6.55</v>
      </c>
      <c r="W59" s="161">
        <f t="shared" si="27"/>
        <v>-6.55</v>
      </c>
      <c r="X59" s="217" t="e">
        <f t="shared" si="34"/>
        <v>#DIV/0!</v>
      </c>
      <c r="Y59" s="327" t="e">
        <f t="shared" si="20"/>
        <v>#DIV/0!</v>
      </c>
    </row>
    <row r="60" spans="1:25" s="6" customFormat="1" ht="30.75">
      <c r="A60" s="8"/>
      <c r="B60" s="313" t="s">
        <v>105</v>
      </c>
      <c r="C60" s="49">
        <v>22010300</v>
      </c>
      <c r="D60" s="429">
        <v>1284</v>
      </c>
      <c r="E60" s="150">
        <v>1284</v>
      </c>
      <c r="F60" s="150">
        <v>89.19</v>
      </c>
      <c r="G60" s="156">
        <v>89.19</v>
      </c>
      <c r="H60" s="150">
        <f t="shared" si="26"/>
        <v>0</v>
      </c>
      <c r="I60" s="344">
        <f t="shared" si="24"/>
        <v>1</v>
      </c>
      <c r="J60" s="165">
        <f t="shared" si="28"/>
        <v>-1194.81</v>
      </c>
      <c r="K60" s="217">
        <f t="shared" si="25"/>
        <v>0.0694626168224299</v>
      </c>
      <c r="L60" s="165"/>
      <c r="M60" s="165"/>
      <c r="N60" s="165"/>
      <c r="O60" s="165">
        <v>1205.14</v>
      </c>
      <c r="P60" s="165">
        <f t="shared" si="29"/>
        <v>78.8599999999999</v>
      </c>
      <c r="Q60" s="217">
        <f t="shared" si="30"/>
        <v>1.0654363808354215</v>
      </c>
      <c r="R60" s="165">
        <v>89.45</v>
      </c>
      <c r="S60" s="165">
        <f t="shared" si="5"/>
        <v>-0.2600000000000051</v>
      </c>
      <c r="T60" s="217">
        <f t="shared" si="31"/>
        <v>0.9970933482392398</v>
      </c>
      <c r="U60" s="157">
        <f t="shared" si="32"/>
        <v>89.19</v>
      </c>
      <c r="V60" s="160">
        <f t="shared" si="33"/>
        <v>89.19</v>
      </c>
      <c r="W60" s="161">
        <f t="shared" si="27"/>
        <v>0</v>
      </c>
      <c r="X60" s="217">
        <f t="shared" si="34"/>
        <v>1</v>
      </c>
      <c r="Y60" s="327">
        <f t="shared" si="20"/>
        <v>-0.06834303259618169</v>
      </c>
    </row>
    <row r="61" spans="1:25" s="6" customFormat="1" ht="18" hidden="1">
      <c r="A61" s="8"/>
      <c r="B61" s="130" t="s">
        <v>151</v>
      </c>
      <c r="C61" s="49">
        <v>22010200</v>
      </c>
      <c r="D61" s="415"/>
      <c r="E61" s="150"/>
      <c r="F61" s="150">
        <v>0</v>
      </c>
      <c r="G61" s="156">
        <v>0</v>
      </c>
      <c r="H61" s="150">
        <f t="shared" si="26"/>
        <v>0</v>
      </c>
      <c r="I61" s="344" t="e">
        <f t="shared" si="24"/>
        <v>#DIV/0!</v>
      </c>
      <c r="J61" s="165">
        <f t="shared" si="28"/>
        <v>0</v>
      </c>
      <c r="K61" s="217" t="e">
        <f t="shared" si="25"/>
        <v>#DIV/0!</v>
      </c>
      <c r="L61" s="165"/>
      <c r="M61" s="165"/>
      <c r="N61" s="165"/>
      <c r="O61" s="165">
        <v>23.38</v>
      </c>
      <c r="P61" s="165">
        <f t="shared" si="29"/>
        <v>-23.38</v>
      </c>
      <c r="Q61" s="217">
        <f t="shared" si="30"/>
        <v>0</v>
      </c>
      <c r="R61" s="165">
        <v>0</v>
      </c>
      <c r="S61" s="165">
        <f t="shared" si="5"/>
        <v>0</v>
      </c>
      <c r="T61" s="217"/>
      <c r="U61" s="157">
        <f t="shared" si="32"/>
        <v>0</v>
      </c>
      <c r="V61" s="160">
        <f t="shared" si="33"/>
        <v>0</v>
      </c>
      <c r="W61" s="161">
        <f t="shared" si="27"/>
        <v>0</v>
      </c>
      <c r="X61" s="217" t="e">
        <f t="shared" si="34"/>
        <v>#DIV/0!</v>
      </c>
      <c r="Y61" s="327">
        <f t="shared" si="20"/>
        <v>0</v>
      </c>
    </row>
    <row r="62" spans="1:25" s="6" customFormat="1" ht="18">
      <c r="A62" s="8"/>
      <c r="B62" s="319" t="s">
        <v>78</v>
      </c>
      <c r="C62" s="72">
        <v>22012500</v>
      </c>
      <c r="D62" s="428">
        <v>21260</v>
      </c>
      <c r="E62" s="150">
        <v>21260</v>
      </c>
      <c r="F62" s="150">
        <v>1890</v>
      </c>
      <c r="G62" s="156">
        <v>1894.1</v>
      </c>
      <c r="H62" s="150">
        <f t="shared" si="26"/>
        <v>4.099999999999909</v>
      </c>
      <c r="I62" s="344">
        <f t="shared" si="24"/>
        <v>1.002169312169312</v>
      </c>
      <c r="J62" s="165">
        <f t="shared" si="28"/>
        <v>-19365.9</v>
      </c>
      <c r="K62" s="217">
        <f t="shared" si="25"/>
        <v>0.08909219190968955</v>
      </c>
      <c r="L62" s="165"/>
      <c r="M62" s="165"/>
      <c r="N62" s="165"/>
      <c r="O62" s="165">
        <v>20110.14</v>
      </c>
      <c r="P62" s="165">
        <f t="shared" si="29"/>
        <v>1149.8600000000006</v>
      </c>
      <c r="Q62" s="217">
        <f t="shared" si="30"/>
        <v>1.0571781200926498</v>
      </c>
      <c r="R62" s="165">
        <v>1052.56</v>
      </c>
      <c r="S62" s="165">
        <f t="shared" si="5"/>
        <v>841.54</v>
      </c>
      <c r="T62" s="217">
        <f t="shared" si="31"/>
        <v>1.7995173671809683</v>
      </c>
      <c r="U62" s="157">
        <f t="shared" si="32"/>
        <v>1890</v>
      </c>
      <c r="V62" s="160">
        <f t="shared" si="33"/>
        <v>1894.1</v>
      </c>
      <c r="W62" s="161">
        <f t="shared" si="27"/>
        <v>4.099999999999909</v>
      </c>
      <c r="X62" s="217">
        <f t="shared" si="34"/>
        <v>1.002169312169312</v>
      </c>
      <c r="Y62" s="327">
        <f t="shared" si="20"/>
        <v>0.7423392470883186</v>
      </c>
    </row>
    <row r="63" spans="1:25" s="6" customFormat="1" ht="31.5">
      <c r="A63" s="8"/>
      <c r="B63" s="319" t="s">
        <v>99</v>
      </c>
      <c r="C63" s="72">
        <v>22012600</v>
      </c>
      <c r="D63" s="428">
        <v>767</v>
      </c>
      <c r="E63" s="150">
        <v>767</v>
      </c>
      <c r="F63" s="150">
        <f>56.1+0.9</f>
        <v>57</v>
      </c>
      <c r="G63" s="156">
        <v>59.37</v>
      </c>
      <c r="H63" s="150">
        <f t="shared" si="26"/>
        <v>2.3699999999999974</v>
      </c>
      <c r="I63" s="344">
        <f t="shared" si="24"/>
        <v>1.041578947368421</v>
      </c>
      <c r="J63" s="165">
        <f t="shared" si="28"/>
        <v>-707.63</v>
      </c>
      <c r="K63" s="217">
        <f t="shared" si="25"/>
        <v>0.07740547588005214</v>
      </c>
      <c r="L63" s="165"/>
      <c r="M63" s="165"/>
      <c r="N63" s="165"/>
      <c r="O63" s="165">
        <v>710.04</v>
      </c>
      <c r="P63" s="165">
        <f t="shared" si="29"/>
        <v>56.960000000000036</v>
      </c>
      <c r="Q63" s="217">
        <f t="shared" si="30"/>
        <v>1.0802208326291478</v>
      </c>
      <c r="R63" s="165">
        <v>44.53</v>
      </c>
      <c r="S63" s="165">
        <f t="shared" si="5"/>
        <v>14.839999999999996</v>
      </c>
      <c r="T63" s="217">
        <f t="shared" si="31"/>
        <v>1.3332584774309453</v>
      </c>
      <c r="U63" s="157">
        <f t="shared" si="32"/>
        <v>57</v>
      </c>
      <c r="V63" s="160">
        <f t="shared" si="33"/>
        <v>59.37</v>
      </c>
      <c r="W63" s="161">
        <f t="shared" si="27"/>
        <v>2.3699999999999974</v>
      </c>
      <c r="X63" s="217">
        <f t="shared" si="34"/>
        <v>1.041578947368421</v>
      </c>
      <c r="Y63" s="327">
        <f t="shared" si="20"/>
        <v>0.25303764480179747</v>
      </c>
    </row>
    <row r="64" spans="1:25" s="6" customFormat="1" ht="31.5">
      <c r="A64" s="8"/>
      <c r="B64" s="33" t="s">
        <v>106</v>
      </c>
      <c r="C64" s="72">
        <v>22012900</v>
      </c>
      <c r="D64" s="428">
        <v>44</v>
      </c>
      <c r="E64" s="150">
        <v>44</v>
      </c>
      <c r="F64" s="150">
        <v>1</v>
      </c>
      <c r="G64" s="156">
        <v>1.06</v>
      </c>
      <c r="H64" s="150">
        <f t="shared" si="26"/>
        <v>0.06000000000000005</v>
      </c>
      <c r="I64" s="344">
        <f t="shared" si="24"/>
        <v>1.06</v>
      </c>
      <c r="J64" s="165">
        <f t="shared" si="28"/>
        <v>-42.94</v>
      </c>
      <c r="K64" s="217">
        <f t="shared" si="25"/>
        <v>0.024090909090909093</v>
      </c>
      <c r="L64" s="165"/>
      <c r="M64" s="165"/>
      <c r="N64" s="165"/>
      <c r="O64" s="165">
        <v>41.44</v>
      </c>
      <c r="P64" s="165">
        <f t="shared" si="29"/>
        <v>2.5600000000000023</v>
      </c>
      <c r="Q64" s="217">
        <f t="shared" si="30"/>
        <v>1.0617760617760619</v>
      </c>
      <c r="R64" s="165">
        <v>0</v>
      </c>
      <c r="S64" s="165">
        <f t="shared" si="5"/>
        <v>1.06</v>
      </c>
      <c r="T64" s="217" t="e">
        <f t="shared" si="31"/>
        <v>#DIV/0!</v>
      </c>
      <c r="U64" s="157">
        <f t="shared" si="32"/>
        <v>1</v>
      </c>
      <c r="V64" s="160">
        <f t="shared" si="33"/>
        <v>1.06</v>
      </c>
      <c r="W64" s="161">
        <f t="shared" si="27"/>
        <v>0.06000000000000005</v>
      </c>
      <c r="X64" s="217">
        <f t="shared" si="34"/>
        <v>1.06</v>
      </c>
      <c r="Y64" s="327" t="e">
        <f t="shared" si="20"/>
        <v>#DIV/0!</v>
      </c>
    </row>
    <row r="65" spans="1:25" s="6" customFormat="1" ht="30.75">
      <c r="A65" s="8"/>
      <c r="B65" s="130" t="s">
        <v>14</v>
      </c>
      <c r="C65" s="49">
        <v>22080400</v>
      </c>
      <c r="D65" s="429">
        <v>6000</v>
      </c>
      <c r="E65" s="150">
        <v>6000</v>
      </c>
      <c r="F65" s="150">
        <v>564.14</v>
      </c>
      <c r="G65" s="156">
        <v>564.14</v>
      </c>
      <c r="H65" s="150">
        <f t="shared" si="26"/>
        <v>0</v>
      </c>
      <c r="I65" s="344">
        <f t="shared" si="24"/>
        <v>1</v>
      </c>
      <c r="J65" s="165">
        <f t="shared" si="28"/>
        <v>-5435.86</v>
      </c>
      <c r="K65" s="217">
        <f t="shared" si="25"/>
        <v>0.09402333333333333</v>
      </c>
      <c r="L65" s="165"/>
      <c r="M65" s="165"/>
      <c r="N65" s="165"/>
      <c r="O65" s="165">
        <v>6545.96</v>
      </c>
      <c r="P65" s="165">
        <f t="shared" si="29"/>
        <v>-545.96</v>
      </c>
      <c r="Q65" s="217">
        <f t="shared" si="30"/>
        <v>0.9165958850955398</v>
      </c>
      <c r="R65" s="165">
        <v>684.99</v>
      </c>
      <c r="S65" s="165">
        <f t="shared" si="5"/>
        <v>-120.85000000000002</v>
      </c>
      <c r="T65" s="217">
        <f t="shared" si="31"/>
        <v>0.8235740667746974</v>
      </c>
      <c r="U65" s="157">
        <f t="shared" si="32"/>
        <v>564.14</v>
      </c>
      <c r="V65" s="160">
        <f t="shared" si="33"/>
        <v>564.14</v>
      </c>
      <c r="W65" s="161">
        <f t="shared" si="27"/>
        <v>0</v>
      </c>
      <c r="X65" s="217">
        <f t="shared" si="34"/>
        <v>1</v>
      </c>
      <c r="Y65" s="327">
        <f t="shared" si="20"/>
        <v>-0.09302181832084244</v>
      </c>
    </row>
    <row r="66" spans="1:25" s="6" customFormat="1" ht="19.5" customHeight="1">
      <c r="A66" s="8"/>
      <c r="B66" s="130" t="s">
        <v>15</v>
      </c>
      <c r="C66" s="43">
        <v>22090000</v>
      </c>
      <c r="D66" s="412">
        <f>D67+D68+D70</f>
        <v>866</v>
      </c>
      <c r="E66" s="150">
        <v>866</v>
      </c>
      <c r="F66" s="150">
        <v>46.24</v>
      </c>
      <c r="G66" s="156">
        <v>46.24</v>
      </c>
      <c r="H66" s="150">
        <f t="shared" si="26"/>
        <v>0</v>
      </c>
      <c r="I66" s="344">
        <f t="shared" si="24"/>
        <v>1</v>
      </c>
      <c r="J66" s="165">
        <f t="shared" si="28"/>
        <v>-819.76</v>
      </c>
      <c r="K66" s="217">
        <f t="shared" si="25"/>
        <v>0.05339491916859122</v>
      </c>
      <c r="L66" s="165"/>
      <c r="M66" s="165"/>
      <c r="N66" s="165"/>
      <c r="O66" s="165">
        <v>896.22</v>
      </c>
      <c r="P66" s="165">
        <f t="shared" si="29"/>
        <v>-30.220000000000027</v>
      </c>
      <c r="Q66" s="217">
        <f t="shared" si="30"/>
        <v>0.9662806007453527</v>
      </c>
      <c r="R66" s="165">
        <v>40.09</v>
      </c>
      <c r="S66" s="165">
        <f t="shared" si="5"/>
        <v>6.149999999999999</v>
      </c>
      <c r="T66" s="217">
        <f t="shared" si="31"/>
        <v>1.153404839111998</v>
      </c>
      <c r="U66" s="157">
        <f t="shared" si="32"/>
        <v>46.24</v>
      </c>
      <c r="V66" s="160">
        <f t="shared" si="33"/>
        <v>46.24</v>
      </c>
      <c r="W66" s="161">
        <f t="shared" si="27"/>
        <v>0</v>
      </c>
      <c r="X66" s="217">
        <f t="shared" si="34"/>
        <v>1</v>
      </c>
      <c r="Y66" s="327">
        <f t="shared" si="20"/>
        <v>0.18712423836664527</v>
      </c>
    </row>
    <row r="67" spans="1:25" s="6" customFormat="1" ht="15" hidden="1">
      <c r="A67" s="8"/>
      <c r="B67" s="325" t="s">
        <v>97</v>
      </c>
      <c r="C67" s="196">
        <v>22090100</v>
      </c>
      <c r="D67" s="413">
        <v>728.2</v>
      </c>
      <c r="E67" s="103">
        <v>728.2</v>
      </c>
      <c r="F67" s="103">
        <v>34.42</v>
      </c>
      <c r="G67" s="140">
        <v>34.42</v>
      </c>
      <c r="H67" s="103">
        <f t="shared" si="26"/>
        <v>0</v>
      </c>
      <c r="I67" s="340">
        <f t="shared" si="24"/>
        <v>1</v>
      </c>
      <c r="J67" s="104">
        <f t="shared" si="28"/>
        <v>-693.7800000000001</v>
      </c>
      <c r="K67" s="109">
        <f t="shared" si="25"/>
        <v>0.04726723427629772</v>
      </c>
      <c r="L67" s="104"/>
      <c r="M67" s="104"/>
      <c r="N67" s="104"/>
      <c r="O67" s="104">
        <v>760.62</v>
      </c>
      <c r="P67" s="104">
        <f t="shared" si="29"/>
        <v>-32.41999999999996</v>
      </c>
      <c r="Q67" s="109">
        <f t="shared" si="30"/>
        <v>0.957376876758434</v>
      </c>
      <c r="R67" s="104">
        <v>32.81</v>
      </c>
      <c r="S67" s="334">
        <f t="shared" si="5"/>
        <v>1.6099999999999994</v>
      </c>
      <c r="T67" s="335">
        <f t="shared" si="31"/>
        <v>1.0490704053642181</v>
      </c>
      <c r="U67" s="105">
        <f aca="true" t="shared" si="35" ref="U67:V71">F67</f>
        <v>34.42</v>
      </c>
      <c r="V67" s="144">
        <f t="shared" si="35"/>
        <v>34.42</v>
      </c>
      <c r="W67" s="106">
        <f t="shared" si="27"/>
        <v>0</v>
      </c>
      <c r="X67" s="109">
        <f t="shared" si="34"/>
        <v>1</v>
      </c>
      <c r="Y67" s="327">
        <f t="shared" si="20"/>
        <v>0.09169352860578417</v>
      </c>
    </row>
    <row r="68" spans="1:25" s="6" customFormat="1" ht="15" hidden="1">
      <c r="A68" s="8"/>
      <c r="B68" s="325" t="s">
        <v>94</v>
      </c>
      <c r="C68" s="196">
        <v>22090200</v>
      </c>
      <c r="D68" s="413">
        <v>1</v>
      </c>
      <c r="E68" s="103">
        <v>1</v>
      </c>
      <c r="F68" s="103">
        <v>0</v>
      </c>
      <c r="G68" s="140">
        <v>0</v>
      </c>
      <c r="H68" s="103">
        <f t="shared" si="26"/>
        <v>0</v>
      </c>
      <c r="I68" s="340" t="e">
        <f t="shared" si="24"/>
        <v>#DIV/0!</v>
      </c>
      <c r="J68" s="104">
        <f t="shared" si="28"/>
        <v>-1</v>
      </c>
      <c r="K68" s="109">
        <f t="shared" si="25"/>
        <v>0</v>
      </c>
      <c r="L68" s="104"/>
      <c r="M68" s="104"/>
      <c r="N68" s="104"/>
      <c r="O68" s="104">
        <v>0.18</v>
      </c>
      <c r="P68" s="104">
        <f t="shared" si="29"/>
        <v>0.8200000000000001</v>
      </c>
      <c r="Q68" s="109">
        <f t="shared" si="30"/>
        <v>5.555555555555555</v>
      </c>
      <c r="R68" s="104">
        <v>0.01</v>
      </c>
      <c r="S68" s="334">
        <f t="shared" si="5"/>
        <v>-0.01</v>
      </c>
      <c r="T68" s="335">
        <f t="shared" si="31"/>
        <v>0</v>
      </c>
      <c r="U68" s="105">
        <f t="shared" si="35"/>
        <v>0</v>
      </c>
      <c r="V68" s="144">
        <f t="shared" si="35"/>
        <v>0</v>
      </c>
      <c r="W68" s="106">
        <f t="shared" si="27"/>
        <v>0</v>
      </c>
      <c r="X68" s="109"/>
      <c r="Y68" s="327">
        <f t="shared" si="20"/>
        <v>-5.555555555555555</v>
      </c>
    </row>
    <row r="69" spans="1:25" s="6" customFormat="1" ht="15" hidden="1">
      <c r="A69" s="8"/>
      <c r="B69" s="325" t="s">
        <v>95</v>
      </c>
      <c r="C69" s="123">
        <v>22090300</v>
      </c>
      <c r="D69" s="411"/>
      <c r="E69" s="103"/>
      <c r="F69" s="103">
        <v>0</v>
      </c>
      <c r="G69" s="140">
        <v>0</v>
      </c>
      <c r="H69" s="103">
        <f t="shared" si="26"/>
        <v>0</v>
      </c>
      <c r="I69" s="340" t="e">
        <f t="shared" si="24"/>
        <v>#DIV/0!</v>
      </c>
      <c r="J69" s="104">
        <f t="shared" si="28"/>
        <v>0</v>
      </c>
      <c r="K69" s="109" t="e">
        <f t="shared" si="25"/>
        <v>#DIV/0!</v>
      </c>
      <c r="L69" s="104"/>
      <c r="M69" s="104"/>
      <c r="N69" s="104"/>
      <c r="O69" s="104">
        <v>0</v>
      </c>
      <c r="P69" s="104">
        <f t="shared" si="29"/>
        <v>0</v>
      </c>
      <c r="Q69" s="109" t="e">
        <f t="shared" si="30"/>
        <v>#DIV/0!</v>
      </c>
      <c r="R69" s="104">
        <f>O69</f>
        <v>0</v>
      </c>
      <c r="S69" s="334">
        <f t="shared" si="5"/>
        <v>0</v>
      </c>
      <c r="T69" s="335" t="e">
        <f t="shared" si="31"/>
        <v>#DIV/0!</v>
      </c>
      <c r="U69" s="105">
        <f t="shared" si="35"/>
        <v>0</v>
      </c>
      <c r="V69" s="144">
        <f t="shared" si="35"/>
        <v>0</v>
      </c>
      <c r="W69" s="106">
        <f t="shared" si="27"/>
        <v>0</v>
      </c>
      <c r="X69" s="109"/>
      <c r="Y69" s="327" t="e">
        <f t="shared" si="20"/>
        <v>#DIV/0!</v>
      </c>
    </row>
    <row r="70" spans="1:25" s="6" customFormat="1" ht="15" hidden="1">
      <c r="A70" s="8"/>
      <c r="B70" s="325" t="s">
        <v>96</v>
      </c>
      <c r="C70" s="196">
        <v>22090400</v>
      </c>
      <c r="D70" s="413">
        <v>136.8</v>
      </c>
      <c r="E70" s="103">
        <v>136.8</v>
      </c>
      <c r="F70" s="103">
        <v>11.82</v>
      </c>
      <c r="G70" s="140">
        <v>11.82</v>
      </c>
      <c r="H70" s="103">
        <f t="shared" si="26"/>
        <v>0</v>
      </c>
      <c r="I70" s="340">
        <f t="shared" si="24"/>
        <v>1</v>
      </c>
      <c r="J70" s="104">
        <f t="shared" si="28"/>
        <v>-124.98000000000002</v>
      </c>
      <c r="K70" s="109">
        <f t="shared" si="25"/>
        <v>0.08640350877192982</v>
      </c>
      <c r="L70" s="104"/>
      <c r="M70" s="104"/>
      <c r="N70" s="104"/>
      <c r="O70" s="104">
        <v>135.42</v>
      </c>
      <c r="P70" s="104">
        <f t="shared" si="29"/>
        <v>1.3800000000000239</v>
      </c>
      <c r="Q70" s="109">
        <f t="shared" si="30"/>
        <v>1.01019051838724</v>
      </c>
      <c r="R70" s="104">
        <v>7.27</v>
      </c>
      <c r="S70" s="334">
        <f t="shared" si="5"/>
        <v>4.550000000000001</v>
      </c>
      <c r="T70" s="335">
        <f t="shared" si="31"/>
        <v>1.62585969738652</v>
      </c>
      <c r="U70" s="105">
        <f t="shared" si="35"/>
        <v>11.82</v>
      </c>
      <c r="V70" s="144">
        <f t="shared" si="35"/>
        <v>11.82</v>
      </c>
      <c r="W70" s="106">
        <f t="shared" si="27"/>
        <v>0</v>
      </c>
      <c r="X70" s="109">
        <f t="shared" si="34"/>
        <v>1</v>
      </c>
      <c r="Y70" s="327">
        <f t="shared" si="20"/>
        <v>0.6156691789992801</v>
      </c>
    </row>
    <row r="71" spans="1:25" s="6" customFormat="1" ht="46.5">
      <c r="A71" s="8"/>
      <c r="B71" s="130" t="s">
        <v>17</v>
      </c>
      <c r="C71" s="11" t="s">
        <v>18</v>
      </c>
      <c r="D71" s="432">
        <v>3</v>
      </c>
      <c r="E71" s="150">
        <v>3</v>
      </c>
      <c r="F71" s="150">
        <v>0</v>
      </c>
      <c r="G71" s="156">
        <v>0</v>
      </c>
      <c r="H71" s="150">
        <f t="shared" si="26"/>
        <v>0</v>
      </c>
      <c r="I71" s="344" t="e">
        <f t="shared" si="24"/>
        <v>#DIV/0!</v>
      </c>
      <c r="J71" s="165">
        <f t="shared" si="28"/>
        <v>-3</v>
      </c>
      <c r="K71" s="217">
        <f t="shared" si="25"/>
        <v>0</v>
      </c>
      <c r="L71" s="165"/>
      <c r="M71" s="165"/>
      <c r="N71" s="165"/>
      <c r="O71" s="165">
        <v>2.04</v>
      </c>
      <c r="P71" s="165">
        <f t="shared" si="29"/>
        <v>0.96</v>
      </c>
      <c r="Q71" s="217">
        <f t="shared" si="30"/>
        <v>1.4705882352941175</v>
      </c>
      <c r="R71" s="165">
        <v>1.67</v>
      </c>
      <c r="S71" s="165">
        <f t="shared" si="5"/>
        <v>-1.67</v>
      </c>
      <c r="T71" s="217">
        <f t="shared" si="31"/>
        <v>0</v>
      </c>
      <c r="U71" s="157">
        <f t="shared" si="35"/>
        <v>0</v>
      </c>
      <c r="V71" s="160">
        <f t="shared" si="35"/>
        <v>0</v>
      </c>
      <c r="W71" s="161">
        <f t="shared" si="27"/>
        <v>0</v>
      </c>
      <c r="X71" s="217"/>
      <c r="Y71" s="327">
        <f t="shared" si="20"/>
        <v>-1.4705882352941175</v>
      </c>
    </row>
    <row r="72" spans="1:25" s="6" customFormat="1" ht="15.75" customHeight="1">
      <c r="A72" s="8"/>
      <c r="B72" s="131" t="s">
        <v>13</v>
      </c>
      <c r="C72" s="11" t="s">
        <v>19</v>
      </c>
      <c r="D72" s="432">
        <v>8170</v>
      </c>
      <c r="E72" s="150">
        <v>8170</v>
      </c>
      <c r="F72" s="150">
        <v>568.65</v>
      </c>
      <c r="G72" s="156">
        <v>568.65</v>
      </c>
      <c r="H72" s="150">
        <f t="shared" si="26"/>
        <v>0</v>
      </c>
      <c r="I72" s="344">
        <f t="shared" si="24"/>
        <v>1</v>
      </c>
      <c r="J72" s="165">
        <f t="shared" si="28"/>
        <v>-7601.35</v>
      </c>
      <c r="K72" s="217">
        <f t="shared" si="25"/>
        <v>0.06960220318237453</v>
      </c>
      <c r="L72" s="165"/>
      <c r="M72" s="165"/>
      <c r="N72" s="165"/>
      <c r="O72" s="165">
        <v>8086.92</v>
      </c>
      <c r="P72" s="165">
        <f t="shared" si="29"/>
        <v>83.07999999999993</v>
      </c>
      <c r="Q72" s="217">
        <f t="shared" si="30"/>
        <v>1.0102733797292418</v>
      </c>
      <c r="R72" s="165">
        <v>2247.33</v>
      </c>
      <c r="S72" s="165">
        <f t="shared" si="5"/>
        <v>-1678.6799999999998</v>
      </c>
      <c r="T72" s="217">
        <f t="shared" si="31"/>
        <v>0.2530335998718479</v>
      </c>
      <c r="U72" s="157">
        <f aca="true" t="shared" si="36" ref="U72:U78">F72</f>
        <v>568.65</v>
      </c>
      <c r="V72" s="160">
        <f aca="true" t="shared" si="37" ref="V72:V78">G72</f>
        <v>568.65</v>
      </c>
      <c r="W72" s="161">
        <f t="shared" si="27"/>
        <v>0</v>
      </c>
      <c r="X72" s="217">
        <f t="shared" si="34"/>
        <v>1</v>
      </c>
      <c r="Y72" s="327">
        <f t="shared" si="20"/>
        <v>-0.7572397798573939</v>
      </c>
    </row>
    <row r="73" spans="1:25" s="6" customFormat="1" ht="18" hidden="1">
      <c r="A73" s="8"/>
      <c r="B73" s="12" t="s">
        <v>22</v>
      </c>
      <c r="C73" s="61" t="s">
        <v>23</v>
      </c>
      <c r="D73" s="433"/>
      <c r="E73" s="31"/>
      <c r="F73" s="31">
        <v>0</v>
      </c>
      <c r="G73" s="139">
        <v>0</v>
      </c>
      <c r="H73" s="150">
        <f t="shared" si="26"/>
        <v>0</v>
      </c>
      <c r="I73" s="344" t="e">
        <f>G73/F73*100</f>
        <v>#DIV/0!</v>
      </c>
      <c r="J73" s="165">
        <f t="shared" si="28"/>
        <v>0</v>
      </c>
      <c r="K73" s="217" t="e">
        <f>G73/E73*100</f>
        <v>#DIV/0!</v>
      </c>
      <c r="L73" s="165"/>
      <c r="M73" s="165"/>
      <c r="N73" s="165"/>
      <c r="O73" s="165"/>
      <c r="P73" s="165"/>
      <c r="Q73" s="217"/>
      <c r="R73" s="165">
        <v>0</v>
      </c>
      <c r="S73" s="165">
        <f t="shared" si="5"/>
        <v>0</v>
      </c>
      <c r="T73" s="217" t="e">
        <f t="shared" si="31"/>
        <v>#DIV/0!</v>
      </c>
      <c r="U73" s="157">
        <f t="shared" si="36"/>
        <v>0</v>
      </c>
      <c r="V73" s="160">
        <f t="shared" si="37"/>
        <v>0</v>
      </c>
      <c r="W73" s="161">
        <f t="shared" si="27"/>
        <v>0</v>
      </c>
      <c r="X73" s="217" t="e">
        <f t="shared" si="34"/>
        <v>#DIV/0!</v>
      </c>
      <c r="Y73" s="327" t="e">
        <f t="shared" si="20"/>
        <v>#DIV/0!</v>
      </c>
    </row>
    <row r="74" spans="1:25" s="6" customFormat="1" ht="30.75" hidden="1">
      <c r="A74" s="8"/>
      <c r="B74" s="50" t="s">
        <v>42</v>
      </c>
      <c r="C74" s="61"/>
      <c r="D74" s="433"/>
      <c r="E74" s="103"/>
      <c r="F74" s="103"/>
      <c r="G74" s="200">
        <v>0</v>
      </c>
      <c r="H74" s="244"/>
      <c r="I74" s="344"/>
      <c r="J74" s="245"/>
      <c r="K74" s="271"/>
      <c r="L74" s="245"/>
      <c r="M74" s="245"/>
      <c r="N74" s="245"/>
      <c r="O74" s="245">
        <v>1411.18</v>
      </c>
      <c r="P74" s="165"/>
      <c r="Q74" s="217"/>
      <c r="R74" s="166">
        <f>O74</f>
        <v>1411.18</v>
      </c>
      <c r="S74" s="245"/>
      <c r="T74" s="271">
        <f t="shared" si="31"/>
        <v>0</v>
      </c>
      <c r="U74" s="157">
        <f t="shared" si="36"/>
        <v>0</v>
      </c>
      <c r="V74" s="160">
        <f t="shared" si="37"/>
        <v>0</v>
      </c>
      <c r="W74" s="166">
        <f t="shared" si="27"/>
        <v>0</v>
      </c>
      <c r="X74" s="217"/>
      <c r="Y74" s="327"/>
    </row>
    <row r="75" spans="1:25" s="6" customFormat="1" ht="18" hidden="1">
      <c r="A75" s="8"/>
      <c r="B75" s="131" t="s">
        <v>20</v>
      </c>
      <c r="C75" s="128" t="s">
        <v>21</v>
      </c>
      <c r="D75" s="434"/>
      <c r="E75" s="34"/>
      <c r="F75" s="34">
        <v>0</v>
      </c>
      <c r="G75" s="141">
        <v>0</v>
      </c>
      <c r="H75" s="150">
        <f t="shared" si="26"/>
        <v>0</v>
      </c>
      <c r="I75" s="344" t="e">
        <f>G75/F75*100</f>
        <v>#DIV/0!</v>
      </c>
      <c r="J75" s="165">
        <f t="shared" si="28"/>
        <v>0</v>
      </c>
      <c r="K75" s="217" t="e">
        <f>G75/E75*100</f>
        <v>#DIV/0!</v>
      </c>
      <c r="L75" s="165"/>
      <c r="M75" s="165"/>
      <c r="N75" s="165"/>
      <c r="O75" s="165"/>
      <c r="P75" s="165"/>
      <c r="Q75" s="217"/>
      <c r="R75" s="166">
        <v>0</v>
      </c>
      <c r="S75" s="165">
        <f t="shared" si="5"/>
        <v>0</v>
      </c>
      <c r="T75" s="217" t="e">
        <f t="shared" si="31"/>
        <v>#DIV/0!</v>
      </c>
      <c r="U75" s="157">
        <f t="shared" si="36"/>
        <v>0</v>
      </c>
      <c r="V75" s="160">
        <f t="shared" si="37"/>
        <v>0</v>
      </c>
      <c r="W75" s="161">
        <f t="shared" si="27"/>
        <v>0</v>
      </c>
      <c r="X75" s="217" t="e">
        <f t="shared" si="34"/>
        <v>#DIV/0!</v>
      </c>
      <c r="Y75" s="327" t="e">
        <f t="shared" si="20"/>
        <v>#DIV/0!</v>
      </c>
    </row>
    <row r="76" spans="1:25" s="6" customFormat="1" ht="44.25" customHeight="1">
      <c r="A76" s="8"/>
      <c r="B76" s="131" t="s">
        <v>43</v>
      </c>
      <c r="C76" s="43">
        <v>24061900</v>
      </c>
      <c r="D76" s="412">
        <v>174.4</v>
      </c>
      <c r="E76" s="150">
        <v>174.4</v>
      </c>
      <c r="F76" s="150">
        <v>0</v>
      </c>
      <c r="G76" s="156">
        <v>0</v>
      </c>
      <c r="H76" s="150">
        <f t="shared" si="26"/>
        <v>0</v>
      </c>
      <c r="I76" s="344" t="e">
        <f>G76/F76</f>
        <v>#DIV/0!</v>
      </c>
      <c r="J76" s="165">
        <f t="shared" si="28"/>
        <v>-174.4</v>
      </c>
      <c r="K76" s="217">
        <f>G76/E76</f>
        <v>0</v>
      </c>
      <c r="L76" s="165"/>
      <c r="M76" s="165"/>
      <c r="N76" s="165"/>
      <c r="O76" s="165">
        <v>142.18</v>
      </c>
      <c r="P76" s="165">
        <f>E76-O76</f>
        <v>32.22</v>
      </c>
      <c r="Q76" s="217">
        <f>E76/O76</f>
        <v>1.2266141510761006</v>
      </c>
      <c r="R76" s="165">
        <v>32.89</v>
      </c>
      <c r="S76" s="165">
        <f t="shared" si="5"/>
        <v>-32.89</v>
      </c>
      <c r="T76" s="217">
        <f t="shared" si="31"/>
        <v>0</v>
      </c>
      <c r="U76" s="157">
        <f t="shared" si="36"/>
        <v>0</v>
      </c>
      <c r="V76" s="160">
        <f t="shared" si="37"/>
        <v>0</v>
      </c>
      <c r="W76" s="161">
        <f t="shared" si="27"/>
        <v>0</v>
      </c>
      <c r="X76" s="217" t="e">
        <f t="shared" si="34"/>
        <v>#DIV/0!</v>
      </c>
      <c r="Y76" s="327">
        <f t="shared" si="20"/>
        <v>-1.2266141510761006</v>
      </c>
    </row>
    <row r="77" spans="1:25" s="6" customFormat="1" ht="27.75" customHeight="1">
      <c r="A77" s="8"/>
      <c r="B77" s="131" t="s">
        <v>44</v>
      </c>
      <c r="C77" s="43">
        <v>31010200</v>
      </c>
      <c r="D77" s="412">
        <v>35</v>
      </c>
      <c r="E77" s="150">
        <v>35</v>
      </c>
      <c r="F77" s="150">
        <v>3.77</v>
      </c>
      <c r="G77" s="156">
        <v>3.77</v>
      </c>
      <c r="H77" s="150">
        <f t="shared" si="26"/>
        <v>0</v>
      </c>
      <c r="I77" s="344">
        <f>G77/F77</f>
        <v>1</v>
      </c>
      <c r="J77" s="165">
        <f t="shared" si="28"/>
        <v>-31.23</v>
      </c>
      <c r="K77" s="217">
        <f>G77/E77</f>
        <v>0.10771428571428572</v>
      </c>
      <c r="L77" s="165"/>
      <c r="M77" s="165"/>
      <c r="N77" s="165"/>
      <c r="O77" s="165">
        <v>34.22</v>
      </c>
      <c r="P77" s="165">
        <f>E77-O77</f>
        <v>0.7800000000000011</v>
      </c>
      <c r="Q77" s="217">
        <f>E77/O77</f>
        <v>1.0227936879018118</v>
      </c>
      <c r="R77" s="165">
        <v>1.49</v>
      </c>
      <c r="S77" s="165">
        <f t="shared" si="5"/>
        <v>2.2800000000000002</v>
      </c>
      <c r="T77" s="217">
        <f t="shared" si="31"/>
        <v>2.530201342281879</v>
      </c>
      <c r="U77" s="157">
        <f t="shared" si="36"/>
        <v>3.77</v>
      </c>
      <c r="V77" s="160">
        <f t="shared" si="37"/>
        <v>3.77</v>
      </c>
      <c r="W77" s="161">
        <f t="shared" si="27"/>
        <v>0</v>
      </c>
      <c r="X77" s="217">
        <f t="shared" si="34"/>
        <v>1</v>
      </c>
      <c r="Y77" s="327">
        <f t="shared" si="20"/>
        <v>1.5074076543800674</v>
      </c>
    </row>
    <row r="78" spans="1:25" s="6" customFormat="1" ht="30.75" hidden="1">
      <c r="A78" s="8"/>
      <c r="B78" s="131" t="s">
        <v>57</v>
      </c>
      <c r="C78" s="43">
        <v>31020000</v>
      </c>
      <c r="D78" s="408"/>
      <c r="E78" s="150"/>
      <c r="F78" s="150">
        <f>E78</f>
        <v>0</v>
      </c>
      <c r="G78" s="156">
        <v>0</v>
      </c>
      <c r="H78" s="150">
        <f t="shared" si="26"/>
        <v>0</v>
      </c>
      <c r="I78" s="344" t="e">
        <f>G78/F78</f>
        <v>#DIV/0!</v>
      </c>
      <c r="J78" s="165">
        <f t="shared" si="28"/>
        <v>0</v>
      </c>
      <c r="K78" s="217"/>
      <c r="L78" s="165"/>
      <c r="M78" s="165"/>
      <c r="N78" s="165"/>
      <c r="O78" s="165">
        <v>-4.86</v>
      </c>
      <c r="P78" s="165">
        <f>E78-O78</f>
        <v>4.86</v>
      </c>
      <c r="Q78" s="217">
        <f>E78/O78</f>
        <v>0</v>
      </c>
      <c r="R78" s="165">
        <v>0</v>
      </c>
      <c r="S78" s="165">
        <f t="shared" si="5"/>
        <v>0</v>
      </c>
      <c r="T78" s="217" t="e">
        <f t="shared" si="31"/>
        <v>#DIV/0!</v>
      </c>
      <c r="U78" s="157">
        <f t="shared" si="36"/>
        <v>0</v>
      </c>
      <c r="V78" s="160">
        <f t="shared" si="37"/>
        <v>0</v>
      </c>
      <c r="W78" s="161">
        <f t="shared" si="27"/>
        <v>0</v>
      </c>
      <c r="X78" s="217"/>
      <c r="Y78" s="327" t="e">
        <f t="shared" si="20"/>
        <v>#DIV/0!</v>
      </c>
    </row>
    <row r="79" spans="1:25" s="6" customFormat="1" ht="17.25">
      <c r="A79" s="9"/>
      <c r="B79" s="14" t="s">
        <v>148</v>
      </c>
      <c r="C79" s="62"/>
      <c r="D79" s="151">
        <f>D8+D53+D77+D78</f>
        <v>1627917.7</v>
      </c>
      <c r="E79" s="151">
        <f>E8+E53+E77+E78</f>
        <v>1627917.7</v>
      </c>
      <c r="F79" s="151">
        <f>F8+F53+F77+F78</f>
        <v>115278.549</v>
      </c>
      <c r="G79" s="151">
        <f>G8+G53+G77+G78</f>
        <v>115278.54</v>
      </c>
      <c r="H79" s="151">
        <f>G79-F79</f>
        <v>-0.00900000000547152</v>
      </c>
      <c r="I79" s="341">
        <f>G79/F79</f>
        <v>0.9999999219282331</v>
      </c>
      <c r="J79" s="153">
        <f>G79-E79</f>
        <v>-1512639.16</v>
      </c>
      <c r="K79" s="218">
        <f>G79/E79</f>
        <v>0.07081349382711423</v>
      </c>
      <c r="L79" s="153"/>
      <c r="M79" s="153"/>
      <c r="N79" s="153"/>
      <c r="O79" s="153">
        <v>1398996.46</v>
      </c>
      <c r="P79" s="153">
        <f>E79-O79</f>
        <v>228921.24</v>
      </c>
      <c r="Q79" s="218">
        <f>E79/O79</f>
        <v>1.163632465517461</v>
      </c>
      <c r="R79" s="151">
        <v>98086.18</v>
      </c>
      <c r="S79" s="153">
        <f>G79-R79</f>
        <v>17192.36</v>
      </c>
      <c r="T79" s="218">
        <f>G79/R79</f>
        <v>1.1752781074765069</v>
      </c>
      <c r="U79" s="151">
        <f>U8+U53+U77+U78</f>
        <v>115278.549</v>
      </c>
      <c r="V79" s="151">
        <f>V8+V53+V77+V78</f>
        <v>115278.54</v>
      </c>
      <c r="W79" s="193">
        <f>V79-U79</f>
        <v>-0.00900000000547152</v>
      </c>
      <c r="X79" s="218">
        <f>V79/U79</f>
        <v>0.9999999219282331</v>
      </c>
      <c r="Y79" s="327">
        <f t="shared" si="20"/>
        <v>0.011645641959045827</v>
      </c>
    </row>
    <row r="80" spans="1:25" s="48" customFormat="1" ht="17.25" hidden="1">
      <c r="A80" s="45"/>
      <c r="B80" s="55"/>
      <c r="C80" s="63"/>
      <c r="D80" s="63"/>
      <c r="E80" s="46"/>
      <c r="F80" s="46"/>
      <c r="G80" s="82"/>
      <c r="H80" s="77"/>
      <c r="I80" s="345"/>
      <c r="J80" s="54"/>
      <c r="K80" s="96"/>
      <c r="L80" s="35"/>
      <c r="M80" s="35"/>
      <c r="N80" s="35"/>
      <c r="O80" s="35"/>
      <c r="P80" s="35"/>
      <c r="Q80" s="96"/>
      <c r="R80" s="35"/>
      <c r="S80" s="35"/>
      <c r="T80" s="35"/>
      <c r="U80" s="47"/>
      <c r="V80" s="46"/>
      <c r="W80" s="79"/>
      <c r="X80" s="96"/>
      <c r="Y80" s="327">
        <f t="shared" si="20"/>
        <v>0</v>
      </c>
    </row>
    <row r="81" spans="1:25" s="48" customFormat="1" ht="17.25" hidden="1">
      <c r="A81" s="45"/>
      <c r="B81" s="56"/>
      <c r="C81" s="63"/>
      <c r="D81" s="63"/>
      <c r="E81" s="57"/>
      <c r="F81" s="46"/>
      <c r="G81" s="82"/>
      <c r="H81" s="40"/>
      <c r="I81" s="345"/>
      <c r="J81" s="58"/>
      <c r="K81" s="96"/>
      <c r="L81" s="35"/>
      <c r="M81" s="35"/>
      <c r="N81" s="35"/>
      <c r="O81" s="35"/>
      <c r="P81" s="35"/>
      <c r="Q81" s="96"/>
      <c r="R81" s="35"/>
      <c r="S81" s="35"/>
      <c r="T81" s="35"/>
      <c r="U81" s="30"/>
      <c r="V81" s="46"/>
      <c r="W81" s="59"/>
      <c r="X81" s="96"/>
      <c r="Y81" s="327">
        <f t="shared" si="20"/>
        <v>0</v>
      </c>
    </row>
    <row r="82" spans="1:25" s="48" customFormat="1" ht="17.25" hidden="1">
      <c r="A82" s="45"/>
      <c r="B82" s="56"/>
      <c r="C82" s="63"/>
      <c r="D82" s="63"/>
      <c r="E82" s="57"/>
      <c r="F82" s="34"/>
      <c r="G82" s="111"/>
      <c r="H82" s="40"/>
      <c r="I82" s="345"/>
      <c r="J82" s="58"/>
      <c r="K82" s="96"/>
      <c r="L82" s="35"/>
      <c r="M82" s="35"/>
      <c r="N82" s="35"/>
      <c r="O82" s="35"/>
      <c r="P82" s="35"/>
      <c r="Q82" s="96"/>
      <c r="R82" s="35"/>
      <c r="S82" s="35"/>
      <c r="T82" s="35"/>
      <c r="U82" s="30"/>
      <c r="V82" s="57"/>
      <c r="W82" s="79"/>
      <c r="X82" s="96"/>
      <c r="Y82" s="327">
        <f t="shared" si="20"/>
        <v>0</v>
      </c>
    </row>
    <row r="83" spans="2:25" ht="15">
      <c r="B83" s="22" t="s">
        <v>108</v>
      </c>
      <c r="C83" s="64"/>
      <c r="D83" s="64"/>
      <c r="E83" s="24"/>
      <c r="F83" s="24"/>
      <c r="G83" s="142"/>
      <c r="H83" s="34"/>
      <c r="I83" s="346"/>
      <c r="J83" s="38"/>
      <c r="K83" s="97"/>
      <c r="L83" s="38"/>
      <c r="M83" s="38"/>
      <c r="N83" s="38"/>
      <c r="O83" s="38"/>
      <c r="P83" s="38"/>
      <c r="Q83" s="97"/>
      <c r="R83" s="38"/>
      <c r="S83" s="38"/>
      <c r="T83" s="38"/>
      <c r="U83" s="31"/>
      <c r="V83" s="146"/>
      <c r="W83" s="36"/>
      <c r="X83" s="97"/>
      <c r="Y83" s="327">
        <f t="shared" si="20"/>
        <v>0</v>
      </c>
    </row>
    <row r="84" spans="2:25" ht="25.5" customHeight="1" hidden="1">
      <c r="B84" s="232" t="s">
        <v>100</v>
      </c>
      <c r="C84" s="135">
        <v>12020000</v>
      </c>
      <c r="D84" s="420"/>
      <c r="E84" s="179">
        <v>0</v>
      </c>
      <c r="F84" s="179"/>
      <c r="G84" s="180">
        <v>0.01</v>
      </c>
      <c r="H84" s="162"/>
      <c r="I84" s="344"/>
      <c r="J84" s="167"/>
      <c r="K84" s="208"/>
      <c r="L84" s="167"/>
      <c r="M84" s="167"/>
      <c r="N84" s="167"/>
      <c r="O84" s="167"/>
      <c r="P84" s="167"/>
      <c r="Q84" s="208"/>
      <c r="R84" s="167">
        <f>O84</f>
        <v>0</v>
      </c>
      <c r="S84" s="167">
        <f>G84-R84</f>
        <v>0.01</v>
      </c>
      <c r="T84" s="208" t="e">
        <f>G84/R84</f>
        <v>#DIV/0!</v>
      </c>
      <c r="U84" s="162">
        <f>F84</f>
        <v>0</v>
      </c>
      <c r="V84" s="160">
        <f>G84</f>
        <v>0.01</v>
      </c>
      <c r="W84" s="167"/>
      <c r="X84" s="208"/>
      <c r="Y84" s="327" t="e">
        <f t="shared" si="20"/>
        <v>#DIV/0!</v>
      </c>
    </row>
    <row r="85" spans="2:25" ht="31.5" hidden="1">
      <c r="B85" s="23" t="s">
        <v>62</v>
      </c>
      <c r="C85" s="73">
        <v>18041500</v>
      </c>
      <c r="D85" s="421"/>
      <c r="E85" s="179">
        <v>0</v>
      </c>
      <c r="F85" s="179">
        <v>0</v>
      </c>
      <c r="G85" s="180">
        <v>0</v>
      </c>
      <c r="H85" s="162">
        <f>G85-F85</f>
        <v>0</v>
      </c>
      <c r="I85" s="344"/>
      <c r="J85" s="167">
        <f>G85-E85</f>
        <v>0</v>
      </c>
      <c r="K85" s="208"/>
      <c r="L85" s="167"/>
      <c r="M85" s="167"/>
      <c r="N85" s="167"/>
      <c r="O85" s="167">
        <v>-2.64</v>
      </c>
      <c r="P85" s="167">
        <f>E85-O85</f>
        <v>2.64</v>
      </c>
      <c r="Q85" s="208">
        <f>E85/O85</f>
        <v>0</v>
      </c>
      <c r="R85" s="167">
        <v>0</v>
      </c>
      <c r="S85" s="167">
        <f>G85-R85</f>
        <v>0</v>
      </c>
      <c r="T85" s="208" t="e">
        <f>G85/R85</f>
        <v>#DIV/0!</v>
      </c>
      <c r="U85" s="162">
        <f>F85</f>
        <v>0</v>
      </c>
      <c r="V85" s="160">
        <f>G85</f>
        <v>0</v>
      </c>
      <c r="W85" s="167">
        <f>V85-U85</f>
        <v>0</v>
      </c>
      <c r="X85" s="208"/>
      <c r="Y85" s="327" t="e">
        <f t="shared" si="20"/>
        <v>#DIV/0!</v>
      </c>
    </row>
    <row r="86" spans="2:25" ht="17.25" hidden="1">
      <c r="B86" s="28" t="s">
        <v>45</v>
      </c>
      <c r="C86" s="74"/>
      <c r="D86" s="182">
        <f>D85</f>
        <v>0</v>
      </c>
      <c r="E86" s="182">
        <f>E85</f>
        <v>0</v>
      </c>
      <c r="F86" s="182">
        <f>F85</f>
        <v>0</v>
      </c>
      <c r="G86" s="183">
        <f>SUM(G84:G85)</f>
        <v>0.01</v>
      </c>
      <c r="H86" s="184">
        <f>G86-F86</f>
        <v>0.01</v>
      </c>
      <c r="I86" s="347"/>
      <c r="J86" s="186">
        <f>G86-E86</f>
        <v>0.01</v>
      </c>
      <c r="K86" s="213"/>
      <c r="L86" s="186"/>
      <c r="M86" s="186"/>
      <c r="N86" s="186"/>
      <c r="O86" s="186">
        <v>-2.64</v>
      </c>
      <c r="P86" s="186">
        <f>E86-O86</f>
        <v>2.64</v>
      </c>
      <c r="Q86" s="213">
        <f>E86/O86</f>
        <v>0</v>
      </c>
      <c r="R86" s="186">
        <v>0</v>
      </c>
      <c r="S86" s="186">
        <f aca="true" t="shared" si="38" ref="S86:S98">G86-R86</f>
        <v>0.01</v>
      </c>
      <c r="T86" s="213" t="e">
        <f aca="true" t="shared" si="39" ref="T86:T101">G86/R86</f>
        <v>#DIV/0!</v>
      </c>
      <c r="U86" s="184">
        <f>SUM(U84:U85)</f>
        <v>0</v>
      </c>
      <c r="V86" s="187">
        <f>SUM(V84:V85)</f>
        <v>0.01</v>
      </c>
      <c r="W86" s="186">
        <f>V86-U86</f>
        <v>0.01</v>
      </c>
      <c r="X86" s="213"/>
      <c r="Y86" s="327" t="e">
        <f t="shared" si="20"/>
        <v>#DIV/0!</v>
      </c>
    </row>
    <row r="87" spans="2:25" ht="45.75" hidden="1">
      <c r="B87" s="28" t="s">
        <v>37</v>
      </c>
      <c r="C87" s="135">
        <v>21110000</v>
      </c>
      <c r="D87" s="420">
        <v>0</v>
      </c>
      <c r="E87" s="182">
        <v>0</v>
      </c>
      <c r="F87" s="182">
        <v>0</v>
      </c>
      <c r="G87" s="183">
        <v>0</v>
      </c>
      <c r="H87" s="184">
        <f aca="true" t="shared" si="40" ref="H87:H98">G87-F87</f>
        <v>0</v>
      </c>
      <c r="I87" s="347"/>
      <c r="J87" s="186">
        <f>G87-E87</f>
        <v>0</v>
      </c>
      <c r="K87" s="213"/>
      <c r="L87" s="186"/>
      <c r="M87" s="186"/>
      <c r="N87" s="186"/>
      <c r="O87" s="186">
        <v>35.57</v>
      </c>
      <c r="P87" s="186">
        <f aca="true" t="shared" si="41" ref="P87:P98">E87-O87</f>
        <v>-35.57</v>
      </c>
      <c r="Q87" s="213">
        <f aca="true" t="shared" si="42" ref="Q87:Q98">E87/O87</f>
        <v>0</v>
      </c>
      <c r="R87" s="186">
        <v>11.81</v>
      </c>
      <c r="S87" s="186">
        <f t="shared" si="38"/>
        <v>-11.81</v>
      </c>
      <c r="T87" s="208"/>
      <c r="U87" s="185">
        <f aca="true" t="shared" si="43" ref="U87:V91">F87</f>
        <v>0</v>
      </c>
      <c r="V87" s="263">
        <f t="shared" si="43"/>
        <v>0</v>
      </c>
      <c r="W87" s="186">
        <f aca="true" t="shared" si="44" ref="W87:W98">V87-U87</f>
        <v>0</v>
      </c>
      <c r="X87" s="213"/>
      <c r="Y87" s="327"/>
    </row>
    <row r="88" spans="2:25" ht="31.5">
      <c r="B88" s="23" t="s">
        <v>29</v>
      </c>
      <c r="C88" s="73">
        <v>31030000</v>
      </c>
      <c r="D88" s="435">
        <v>5000</v>
      </c>
      <c r="E88" s="179">
        <v>5000</v>
      </c>
      <c r="F88" s="179">
        <v>806.429</v>
      </c>
      <c r="G88" s="180">
        <v>806.43</v>
      </c>
      <c r="H88" s="162">
        <f t="shared" si="40"/>
        <v>0.0009999999999763531</v>
      </c>
      <c r="I88" s="344">
        <f>G88/F88</f>
        <v>1.0000012400347706</v>
      </c>
      <c r="J88" s="167">
        <f>G88-E88</f>
        <v>-4193.57</v>
      </c>
      <c r="K88" s="208">
        <f>G88/E88</f>
        <v>0.16128599999999998</v>
      </c>
      <c r="L88" s="167"/>
      <c r="M88" s="167"/>
      <c r="N88" s="167"/>
      <c r="O88" s="167">
        <v>938.14</v>
      </c>
      <c r="P88" s="167">
        <f t="shared" si="41"/>
        <v>4061.86</v>
      </c>
      <c r="Q88" s="208">
        <f t="shared" si="42"/>
        <v>5.329694928262306</v>
      </c>
      <c r="R88" s="167">
        <v>0.04</v>
      </c>
      <c r="S88" s="167">
        <f t="shared" si="38"/>
        <v>806.39</v>
      </c>
      <c r="T88" s="208">
        <f t="shared" si="39"/>
        <v>20160.75</v>
      </c>
      <c r="U88" s="157">
        <f t="shared" si="43"/>
        <v>806.429</v>
      </c>
      <c r="V88" s="160">
        <f t="shared" si="43"/>
        <v>806.43</v>
      </c>
      <c r="W88" s="167">
        <f t="shared" si="44"/>
        <v>0.0009999999999763531</v>
      </c>
      <c r="X88" s="208">
        <f>V88/U88</f>
        <v>1.0000012400347706</v>
      </c>
      <c r="Y88" s="327">
        <f t="shared" si="20"/>
        <v>20155.420305071737</v>
      </c>
    </row>
    <row r="89" spans="2:25" ht="18">
      <c r="B89" s="23" t="s">
        <v>30</v>
      </c>
      <c r="C89" s="73">
        <v>33010000</v>
      </c>
      <c r="D89" s="435">
        <v>16449</v>
      </c>
      <c r="E89" s="179">
        <v>16449</v>
      </c>
      <c r="F89" s="179">
        <v>15</v>
      </c>
      <c r="G89" s="180">
        <v>15</v>
      </c>
      <c r="H89" s="162">
        <f t="shared" si="40"/>
        <v>0</v>
      </c>
      <c r="I89" s="344">
        <f>G89/F89</f>
        <v>1</v>
      </c>
      <c r="J89" s="167">
        <f aca="true" t="shared" si="45" ref="J89:J98">G89-E89</f>
        <v>-16434</v>
      </c>
      <c r="K89" s="208">
        <f>G89/E89</f>
        <v>0.0009119095385737735</v>
      </c>
      <c r="L89" s="167"/>
      <c r="M89" s="167"/>
      <c r="N89" s="167"/>
      <c r="O89" s="167">
        <v>8143.65</v>
      </c>
      <c r="P89" s="167">
        <f t="shared" si="41"/>
        <v>8305.35</v>
      </c>
      <c r="Q89" s="208">
        <f t="shared" si="42"/>
        <v>2.0198559613932328</v>
      </c>
      <c r="R89" s="167">
        <v>1.9</v>
      </c>
      <c r="S89" s="167">
        <f t="shared" si="38"/>
        <v>13.1</v>
      </c>
      <c r="T89" s="208">
        <f t="shared" si="39"/>
        <v>7.894736842105264</v>
      </c>
      <c r="U89" s="157">
        <f t="shared" si="43"/>
        <v>15</v>
      </c>
      <c r="V89" s="160">
        <f t="shared" si="43"/>
        <v>15</v>
      </c>
      <c r="W89" s="167">
        <f t="shared" si="44"/>
        <v>0</v>
      </c>
      <c r="X89" s="208">
        <f>V89/U89</f>
        <v>1</v>
      </c>
      <c r="Y89" s="327">
        <f t="shared" si="20"/>
        <v>5.8748808807120305</v>
      </c>
    </row>
    <row r="90" spans="2:25" ht="31.5">
      <c r="B90" s="23" t="s">
        <v>54</v>
      </c>
      <c r="C90" s="73">
        <v>24170000</v>
      </c>
      <c r="D90" s="435">
        <v>22000</v>
      </c>
      <c r="E90" s="179">
        <v>22000</v>
      </c>
      <c r="F90" s="179">
        <v>157</v>
      </c>
      <c r="G90" s="180">
        <v>157.01</v>
      </c>
      <c r="H90" s="162">
        <f t="shared" si="40"/>
        <v>0.009999999999990905</v>
      </c>
      <c r="I90" s="344">
        <f>G90/F90</f>
        <v>1.0000636942675158</v>
      </c>
      <c r="J90" s="167">
        <f t="shared" si="45"/>
        <v>-21842.99</v>
      </c>
      <c r="K90" s="208">
        <f>G90/E90</f>
        <v>0.007136818181818182</v>
      </c>
      <c r="L90" s="167"/>
      <c r="M90" s="167"/>
      <c r="N90" s="167"/>
      <c r="O90" s="167">
        <v>17305.88</v>
      </c>
      <c r="P90" s="167">
        <f t="shared" si="41"/>
        <v>4694.119999999999</v>
      </c>
      <c r="Q90" s="208">
        <f t="shared" si="42"/>
        <v>1.2712442245063527</v>
      </c>
      <c r="R90" s="167">
        <v>90.12</v>
      </c>
      <c r="S90" s="167">
        <f t="shared" si="38"/>
        <v>66.88999999999999</v>
      </c>
      <c r="T90" s="208">
        <f t="shared" si="39"/>
        <v>1.7422325787838435</v>
      </c>
      <c r="U90" s="157">
        <f t="shared" si="43"/>
        <v>157</v>
      </c>
      <c r="V90" s="160">
        <f t="shared" si="43"/>
        <v>157.01</v>
      </c>
      <c r="W90" s="167">
        <f t="shared" si="44"/>
        <v>0.009999999999990905</v>
      </c>
      <c r="X90" s="208">
        <f>V90/U90</f>
        <v>1.0000636942675158</v>
      </c>
      <c r="Y90" s="327">
        <f t="shared" si="20"/>
        <v>0.47098835427749086</v>
      </c>
    </row>
    <row r="91" spans="2:25" ht="18">
      <c r="B91" s="23" t="s">
        <v>101</v>
      </c>
      <c r="C91" s="73">
        <v>24110700</v>
      </c>
      <c r="D91" s="435">
        <v>24</v>
      </c>
      <c r="E91" s="179">
        <v>24</v>
      </c>
      <c r="F91" s="179">
        <v>1</v>
      </c>
      <c r="G91" s="180">
        <v>1</v>
      </c>
      <c r="H91" s="162">
        <f t="shared" si="40"/>
        <v>0</v>
      </c>
      <c r="I91" s="344">
        <f>G91/F91</f>
        <v>1</v>
      </c>
      <c r="J91" s="167">
        <f t="shared" si="45"/>
        <v>-23</v>
      </c>
      <c r="K91" s="208">
        <f>G91/E91</f>
        <v>0.041666666666666664</v>
      </c>
      <c r="L91" s="167"/>
      <c r="M91" s="167"/>
      <c r="N91" s="167"/>
      <c r="O91" s="167">
        <v>20</v>
      </c>
      <c r="P91" s="167">
        <f t="shared" si="41"/>
        <v>4</v>
      </c>
      <c r="Q91" s="208">
        <f t="shared" si="42"/>
        <v>1.2</v>
      </c>
      <c r="R91" s="167">
        <v>1</v>
      </c>
      <c r="S91" s="167">
        <f t="shared" si="38"/>
        <v>0</v>
      </c>
      <c r="T91" s="208">
        <f t="shared" si="39"/>
        <v>1</v>
      </c>
      <c r="U91" s="157">
        <f t="shared" si="43"/>
        <v>1</v>
      </c>
      <c r="V91" s="160">
        <f t="shared" si="43"/>
        <v>1</v>
      </c>
      <c r="W91" s="167">
        <f t="shared" si="44"/>
        <v>0</v>
      </c>
      <c r="X91" s="208">
        <f>V91/U91</f>
        <v>1</v>
      </c>
      <c r="Y91" s="327">
        <f t="shared" si="20"/>
        <v>-0.19999999999999996</v>
      </c>
    </row>
    <row r="92" spans="2:25" ht="33">
      <c r="B92" s="28" t="s">
        <v>51</v>
      </c>
      <c r="C92" s="65"/>
      <c r="D92" s="182">
        <f>D88+D89+D90+D91</f>
        <v>43473</v>
      </c>
      <c r="E92" s="182">
        <f>E88+E89+E90+E91</f>
        <v>43473</v>
      </c>
      <c r="F92" s="182">
        <f>F88+F89+F90+F91</f>
        <v>979.429</v>
      </c>
      <c r="G92" s="183">
        <f>G88+G89+G90+G91</f>
        <v>979.4399999999999</v>
      </c>
      <c r="H92" s="184">
        <f t="shared" si="40"/>
        <v>0.010999999999967258</v>
      </c>
      <c r="I92" s="347">
        <f>G92/F92</f>
        <v>1.000011231033592</v>
      </c>
      <c r="J92" s="186">
        <f t="shared" si="45"/>
        <v>-42493.56</v>
      </c>
      <c r="K92" s="213">
        <f>G92/E92</f>
        <v>0.022529846111379474</v>
      </c>
      <c r="L92" s="186"/>
      <c r="M92" s="186"/>
      <c r="N92" s="186"/>
      <c r="O92" s="186">
        <v>26407.66</v>
      </c>
      <c r="P92" s="186">
        <f t="shared" si="41"/>
        <v>17065.34</v>
      </c>
      <c r="Q92" s="213">
        <f t="shared" si="42"/>
        <v>1.6462268902280626</v>
      </c>
      <c r="R92" s="186">
        <v>93.06</v>
      </c>
      <c r="S92" s="167">
        <f t="shared" si="38"/>
        <v>886.3799999999999</v>
      </c>
      <c r="T92" s="208">
        <f t="shared" si="39"/>
        <v>10.52482269503546</v>
      </c>
      <c r="U92" s="184">
        <f>U88+U89+U90+U91</f>
        <v>979.429</v>
      </c>
      <c r="V92" s="188">
        <f>V88+V89+V90+V91</f>
        <v>979.4399999999999</v>
      </c>
      <c r="W92" s="186">
        <f t="shared" si="44"/>
        <v>0.010999999999967258</v>
      </c>
      <c r="X92" s="213">
        <f>V92/U92</f>
        <v>1.000011231033592</v>
      </c>
      <c r="Y92" s="327">
        <f t="shared" si="20"/>
        <v>8.878595804807398</v>
      </c>
    </row>
    <row r="93" spans="2:25" ht="46.5">
      <c r="B93" s="12" t="s">
        <v>40</v>
      </c>
      <c r="C93" s="75">
        <v>24062100</v>
      </c>
      <c r="D93" s="436">
        <v>43</v>
      </c>
      <c r="E93" s="179">
        <v>43</v>
      </c>
      <c r="F93" s="179">
        <v>0</v>
      </c>
      <c r="G93" s="180">
        <v>0.01</v>
      </c>
      <c r="H93" s="162">
        <f t="shared" si="40"/>
        <v>0.01</v>
      </c>
      <c r="I93" s="344"/>
      <c r="J93" s="167">
        <f t="shared" si="45"/>
        <v>-42.99</v>
      </c>
      <c r="K93" s="208"/>
      <c r="L93" s="167"/>
      <c r="M93" s="167"/>
      <c r="N93" s="167"/>
      <c r="O93" s="167">
        <v>49.17</v>
      </c>
      <c r="P93" s="167">
        <f t="shared" si="41"/>
        <v>-6.170000000000002</v>
      </c>
      <c r="Q93" s="208">
        <f t="shared" si="42"/>
        <v>0.8745169818995322</v>
      </c>
      <c r="R93" s="167">
        <v>0</v>
      </c>
      <c r="S93" s="167">
        <f t="shared" si="38"/>
        <v>0.01</v>
      </c>
      <c r="T93" s="208" t="e">
        <f t="shared" si="39"/>
        <v>#DIV/0!</v>
      </c>
      <c r="U93" s="157">
        <f aca="true" t="shared" si="46" ref="U93:V96">F93</f>
        <v>0</v>
      </c>
      <c r="V93" s="160">
        <f t="shared" si="46"/>
        <v>0.01</v>
      </c>
      <c r="W93" s="167">
        <f t="shared" si="44"/>
        <v>0.01</v>
      </c>
      <c r="X93" s="208"/>
      <c r="Y93" s="327" t="e">
        <f t="shared" si="20"/>
        <v>#DIV/0!</v>
      </c>
    </row>
    <row r="94" spans="2:25" ht="18" hidden="1">
      <c r="B94" s="233" t="s">
        <v>52</v>
      </c>
      <c r="C94" s="73">
        <v>24061600</v>
      </c>
      <c r="D94" s="435"/>
      <c r="E94" s="179"/>
      <c r="F94" s="179">
        <f>E94</f>
        <v>0</v>
      </c>
      <c r="G94" s="180">
        <v>0</v>
      </c>
      <c r="H94" s="162">
        <f t="shared" si="40"/>
        <v>0</v>
      </c>
      <c r="I94" s="344"/>
      <c r="J94" s="167">
        <f t="shared" si="45"/>
        <v>0</v>
      </c>
      <c r="K94" s="355"/>
      <c r="L94" s="189"/>
      <c r="M94" s="189"/>
      <c r="N94" s="189"/>
      <c r="O94" s="189"/>
      <c r="P94" s="167">
        <f t="shared" si="41"/>
        <v>0</v>
      </c>
      <c r="Q94" s="208" t="e">
        <f t="shared" si="42"/>
        <v>#DIV/0!</v>
      </c>
      <c r="R94" s="167">
        <f>O94</f>
        <v>0</v>
      </c>
      <c r="S94" s="167">
        <f t="shared" si="38"/>
        <v>0</v>
      </c>
      <c r="T94" s="208" t="e">
        <f t="shared" si="39"/>
        <v>#DIV/0!</v>
      </c>
      <c r="U94" s="157">
        <f t="shared" si="46"/>
        <v>0</v>
      </c>
      <c r="V94" s="160">
        <f t="shared" si="46"/>
        <v>0</v>
      </c>
      <c r="W94" s="167">
        <f t="shared" si="44"/>
        <v>0</v>
      </c>
      <c r="X94" s="355"/>
      <c r="Y94" s="327" t="e">
        <f t="shared" si="20"/>
        <v>#DIV/0!</v>
      </c>
    </row>
    <row r="95" spans="2:25" ht="18">
      <c r="B95" s="23" t="s">
        <v>46</v>
      </c>
      <c r="C95" s="73">
        <v>19010000</v>
      </c>
      <c r="D95" s="435">
        <v>9050</v>
      </c>
      <c r="E95" s="179">
        <v>9050</v>
      </c>
      <c r="F95" s="179">
        <v>462.75</v>
      </c>
      <c r="G95" s="180">
        <v>463.24</v>
      </c>
      <c r="H95" s="162">
        <f t="shared" si="40"/>
        <v>0.4900000000000091</v>
      </c>
      <c r="I95" s="344">
        <f>G95/F95</f>
        <v>1.0010588870880606</v>
      </c>
      <c r="J95" s="167">
        <f t="shared" si="45"/>
        <v>-8586.76</v>
      </c>
      <c r="K95" s="208">
        <f>G95/E95</f>
        <v>0.05118674033149171</v>
      </c>
      <c r="L95" s="167"/>
      <c r="M95" s="167"/>
      <c r="N95" s="167"/>
      <c r="O95" s="167">
        <v>8033.94</v>
      </c>
      <c r="P95" s="167">
        <f t="shared" si="41"/>
        <v>1016.0600000000004</v>
      </c>
      <c r="Q95" s="208">
        <f t="shared" si="42"/>
        <v>1.1264709470073215</v>
      </c>
      <c r="R95" s="167">
        <v>11.48</v>
      </c>
      <c r="S95" s="167">
        <f t="shared" si="38"/>
        <v>451.76</v>
      </c>
      <c r="T95" s="208">
        <f t="shared" si="39"/>
        <v>40.35191637630662</v>
      </c>
      <c r="U95" s="157">
        <f t="shared" si="46"/>
        <v>462.75</v>
      </c>
      <c r="V95" s="160">
        <f t="shared" si="46"/>
        <v>463.24</v>
      </c>
      <c r="W95" s="167">
        <f t="shared" si="44"/>
        <v>0.4900000000000091</v>
      </c>
      <c r="X95" s="208">
        <f>V95/U95</f>
        <v>1.0010588870880606</v>
      </c>
      <c r="Y95" s="327">
        <f t="shared" si="20"/>
        <v>39.2254454292993</v>
      </c>
    </row>
    <row r="96" spans="2:25" ht="31.5" hidden="1">
      <c r="B96" s="23" t="s">
        <v>50</v>
      </c>
      <c r="C96" s="73">
        <v>19050000</v>
      </c>
      <c r="D96" s="435"/>
      <c r="E96" s="179">
        <v>0</v>
      </c>
      <c r="F96" s="179">
        <v>0</v>
      </c>
      <c r="G96" s="180">
        <v>0</v>
      </c>
      <c r="H96" s="162">
        <f t="shared" si="40"/>
        <v>0</v>
      </c>
      <c r="I96" s="344"/>
      <c r="J96" s="167">
        <f t="shared" si="45"/>
        <v>0</v>
      </c>
      <c r="K96" s="208"/>
      <c r="L96" s="167"/>
      <c r="M96" s="167"/>
      <c r="N96" s="167"/>
      <c r="O96" s="167">
        <v>0.1</v>
      </c>
      <c r="P96" s="167">
        <f t="shared" si="41"/>
        <v>-0.1</v>
      </c>
      <c r="Q96" s="208">
        <f t="shared" si="42"/>
        <v>0</v>
      </c>
      <c r="R96" s="167">
        <v>0</v>
      </c>
      <c r="S96" s="167">
        <f t="shared" si="38"/>
        <v>0</v>
      </c>
      <c r="T96" s="208" t="e">
        <f t="shared" si="39"/>
        <v>#DIV/0!</v>
      </c>
      <c r="U96" s="157">
        <f t="shared" si="46"/>
        <v>0</v>
      </c>
      <c r="V96" s="160">
        <f t="shared" si="46"/>
        <v>0</v>
      </c>
      <c r="W96" s="167">
        <f t="shared" si="44"/>
        <v>0</v>
      </c>
      <c r="X96" s="355"/>
      <c r="Y96" s="327" t="e">
        <f t="shared" si="20"/>
        <v>#DIV/0!</v>
      </c>
    </row>
    <row r="97" spans="2:25" ht="30.75">
      <c r="B97" s="28" t="s">
        <v>47</v>
      </c>
      <c r="C97" s="73"/>
      <c r="D97" s="182">
        <f>D93+D96+D94+D95</f>
        <v>9093</v>
      </c>
      <c r="E97" s="182">
        <f>E93+E96+E94+E95</f>
        <v>9093</v>
      </c>
      <c r="F97" s="182">
        <f>F93+F96+F94+F95</f>
        <v>462.75</v>
      </c>
      <c r="G97" s="183">
        <f>G93+G96+G94+G95</f>
        <v>463.25</v>
      </c>
      <c r="H97" s="184">
        <f t="shared" si="40"/>
        <v>0.5</v>
      </c>
      <c r="I97" s="347">
        <f>G97/F97</f>
        <v>1.001080497028633</v>
      </c>
      <c r="J97" s="186">
        <f t="shared" si="45"/>
        <v>-8629.75</v>
      </c>
      <c r="K97" s="213">
        <f>G97/E97</f>
        <v>0.05094578247003189</v>
      </c>
      <c r="L97" s="186"/>
      <c r="M97" s="186"/>
      <c r="N97" s="186"/>
      <c r="O97" s="186">
        <v>8083.21</v>
      </c>
      <c r="P97" s="186">
        <f t="shared" si="41"/>
        <v>1009.79</v>
      </c>
      <c r="Q97" s="213">
        <f t="shared" si="42"/>
        <v>1.1249243802895137</v>
      </c>
      <c r="R97" s="186">
        <v>11.82</v>
      </c>
      <c r="S97" s="167">
        <f t="shared" si="38"/>
        <v>451.43</v>
      </c>
      <c r="T97" s="208">
        <f t="shared" si="39"/>
        <v>39.19204737732657</v>
      </c>
      <c r="U97" s="184">
        <f>U93+U96+U94+U95</f>
        <v>462.75</v>
      </c>
      <c r="V97" s="188">
        <f>V93+V96+V94+V95</f>
        <v>463.25</v>
      </c>
      <c r="W97" s="186">
        <f t="shared" si="44"/>
        <v>0.5</v>
      </c>
      <c r="X97" s="213">
        <f>V97/U97</f>
        <v>1.001080497028633</v>
      </c>
      <c r="Y97" s="327">
        <f t="shared" si="20"/>
        <v>38.06712299703705</v>
      </c>
    </row>
    <row r="98" spans="2:25" ht="30.75">
      <c r="B98" s="12" t="s">
        <v>41</v>
      </c>
      <c r="C98" s="43">
        <v>24110900</v>
      </c>
      <c r="D98" s="408">
        <v>19.413</v>
      </c>
      <c r="E98" s="179">
        <v>19.413</v>
      </c>
      <c r="F98" s="179">
        <v>1.69558</v>
      </c>
      <c r="G98" s="180">
        <v>1.7</v>
      </c>
      <c r="H98" s="162">
        <f t="shared" si="40"/>
        <v>0.0044199999999998685</v>
      </c>
      <c r="I98" s="344">
        <f>G98/F98</f>
        <v>1.0026067776218166</v>
      </c>
      <c r="J98" s="167">
        <f t="shared" si="45"/>
        <v>-17.713</v>
      </c>
      <c r="K98" s="208">
        <f>G98/E98</f>
        <v>0.08757018492762582</v>
      </c>
      <c r="L98" s="167"/>
      <c r="M98" s="167"/>
      <c r="N98" s="167"/>
      <c r="O98" s="167">
        <v>37.96</v>
      </c>
      <c r="P98" s="167">
        <f t="shared" si="41"/>
        <v>-18.547</v>
      </c>
      <c r="Q98" s="208">
        <f t="shared" si="42"/>
        <v>0.5114067439409905</v>
      </c>
      <c r="R98" s="186">
        <v>0.34</v>
      </c>
      <c r="S98" s="167">
        <f t="shared" si="38"/>
        <v>1.3599999999999999</v>
      </c>
      <c r="T98" s="208">
        <f t="shared" si="39"/>
        <v>4.999999999999999</v>
      </c>
      <c r="U98" s="157">
        <f>F98</f>
        <v>1.69558</v>
      </c>
      <c r="V98" s="160">
        <f>G98</f>
        <v>1.7</v>
      </c>
      <c r="W98" s="167">
        <f t="shared" si="44"/>
        <v>0.0044199999999998685</v>
      </c>
      <c r="X98" s="208">
        <f>V98/U98</f>
        <v>1.0026067776218166</v>
      </c>
      <c r="Y98" s="327">
        <f t="shared" si="20"/>
        <v>4.4885932560590085</v>
      </c>
    </row>
    <row r="99" spans="2:25" ht="18" hidden="1">
      <c r="B99" s="122"/>
      <c r="C99" s="43">
        <v>21110000</v>
      </c>
      <c r="D99" s="43"/>
      <c r="E99" s="179">
        <v>0</v>
      </c>
      <c r="F99" s="179">
        <v>0</v>
      </c>
      <c r="G99" s="180"/>
      <c r="H99" s="162" t="e">
        <f>#N/A</f>
        <v>#N/A</v>
      </c>
      <c r="I99" s="344"/>
      <c r="J99" s="167" t="e">
        <f>#N/A</f>
        <v>#N/A</v>
      </c>
      <c r="K99" s="208"/>
      <c r="L99" s="167"/>
      <c r="M99" s="167"/>
      <c r="N99" s="167"/>
      <c r="O99" s="167"/>
      <c r="P99" s="167"/>
      <c r="Q99" s="208"/>
      <c r="R99" s="167">
        <v>18.76</v>
      </c>
      <c r="S99" s="186" t="e">
        <f>#N/A</f>
        <v>#N/A</v>
      </c>
      <c r="T99" s="208">
        <f t="shared" si="39"/>
        <v>0</v>
      </c>
      <c r="U99" s="164" t="e">
        <f>F99-#REF!</f>
        <v>#REF!</v>
      </c>
      <c r="V99" s="168" t="e">
        <f>G99-#REF!</f>
        <v>#REF!</v>
      </c>
      <c r="W99" s="167" t="e">
        <f>#N/A</f>
        <v>#N/A</v>
      </c>
      <c r="X99" s="208"/>
      <c r="Y99" s="327">
        <f t="shared" si="20"/>
        <v>0</v>
      </c>
    </row>
    <row r="100" spans="2:25" ht="23.25" customHeight="1">
      <c r="B100" s="272" t="s">
        <v>31</v>
      </c>
      <c r="C100" s="273"/>
      <c r="D100" s="274">
        <f>D86+D87+D92+D97+D98</f>
        <v>52585.413</v>
      </c>
      <c r="E100" s="274">
        <f>E86+E87+E92+E97+E98</f>
        <v>52585.413</v>
      </c>
      <c r="F100" s="274">
        <f>F86+F87+F92+F97+F98</f>
        <v>1443.8745800000002</v>
      </c>
      <c r="G100" s="274">
        <f>G86+G87+G92+G97+G98</f>
        <v>1444.3999999999999</v>
      </c>
      <c r="H100" s="275">
        <f>G100-F100</f>
        <v>0.5254199999997127</v>
      </c>
      <c r="I100" s="348">
        <f>G100/F100</f>
        <v>1.0003638958724514</v>
      </c>
      <c r="J100" s="268">
        <f>G100-E100</f>
        <v>-51141.013</v>
      </c>
      <c r="K100" s="269">
        <f>G100/E100</f>
        <v>0.02746769336964226</v>
      </c>
      <c r="L100" s="268"/>
      <c r="M100" s="268"/>
      <c r="N100" s="268"/>
      <c r="O100" s="268">
        <v>34561.77</v>
      </c>
      <c r="P100" s="268">
        <f>E100-O100</f>
        <v>18023.643000000004</v>
      </c>
      <c r="Q100" s="269">
        <f>E100/O100</f>
        <v>1.5214907396235784</v>
      </c>
      <c r="R100" s="274">
        <v>117.03</v>
      </c>
      <c r="S100" s="268">
        <f>G100-R100</f>
        <v>1327.37</v>
      </c>
      <c r="T100" s="269">
        <f t="shared" si="39"/>
        <v>12.342134495428521</v>
      </c>
      <c r="U100" s="274">
        <f>U86+U87+U92+U97+U98</f>
        <v>1443.8745800000002</v>
      </c>
      <c r="V100" s="274">
        <f>V86+V87+V92+V97+V98</f>
        <v>1444.3999999999999</v>
      </c>
      <c r="W100" s="268">
        <f>V100-U100</f>
        <v>0.5254199999997127</v>
      </c>
      <c r="X100" s="269">
        <f>V100/U100</f>
        <v>1.0003638958724514</v>
      </c>
      <c r="Y100" s="327">
        <f>T100-Q100</f>
        <v>10.820643755804943</v>
      </c>
    </row>
    <row r="101" spans="2:25" ht="17.25">
      <c r="B101" s="276" t="s">
        <v>146</v>
      </c>
      <c r="C101" s="273"/>
      <c r="D101" s="274">
        <f>D79+D100</f>
        <v>1680503.113</v>
      </c>
      <c r="E101" s="274">
        <f>E79+E100</f>
        <v>1680503.113</v>
      </c>
      <c r="F101" s="274">
        <f>F79+F100</f>
        <v>116722.42358</v>
      </c>
      <c r="G101" s="274">
        <f>G79+G100</f>
        <v>116722.93999999999</v>
      </c>
      <c r="H101" s="275">
        <f>G101-F101</f>
        <v>0.5164199999853736</v>
      </c>
      <c r="I101" s="348">
        <f>G101/F101</f>
        <v>1.000004424342677</v>
      </c>
      <c r="J101" s="268">
        <f>G101-E101</f>
        <v>-1563780.173</v>
      </c>
      <c r="K101" s="269">
        <f>G101/E101</f>
        <v>0.06945714000590489</v>
      </c>
      <c r="L101" s="268"/>
      <c r="M101" s="268"/>
      <c r="N101" s="268"/>
      <c r="O101" s="268">
        <f>O79+O100</f>
        <v>1433558.23</v>
      </c>
      <c r="P101" s="268">
        <f>E101-O101</f>
        <v>246944.8829999999</v>
      </c>
      <c r="Q101" s="269">
        <f>E101/O101</f>
        <v>1.1722600992636343</v>
      </c>
      <c r="R101" s="268">
        <f>R79+R100</f>
        <v>98203.20999999999</v>
      </c>
      <c r="S101" s="268">
        <f>S79+S100</f>
        <v>18519.73</v>
      </c>
      <c r="T101" s="269">
        <f t="shared" si="39"/>
        <v>1.1885857906274142</v>
      </c>
      <c r="U101" s="275">
        <f>U79+U100</f>
        <v>116722.42358</v>
      </c>
      <c r="V101" s="275">
        <f>V79+V100</f>
        <v>116722.93999999999</v>
      </c>
      <c r="W101" s="268">
        <f>V101-U101</f>
        <v>0.5164199999853736</v>
      </c>
      <c r="X101" s="269">
        <f>V101/U101</f>
        <v>1.000004424342677</v>
      </c>
      <c r="Y101" s="327">
        <f>T101-Q101</f>
        <v>0.016325691363779926</v>
      </c>
    </row>
    <row r="102" spans="2:25" ht="15">
      <c r="B102" s="20" t="s">
        <v>34</v>
      </c>
      <c r="V102" s="25"/>
      <c r="Y102" s="327"/>
    </row>
    <row r="103" spans="2:25" ht="15">
      <c r="B103" s="4" t="s">
        <v>36</v>
      </c>
      <c r="C103" s="76">
        <v>0</v>
      </c>
      <c r="D103" s="76"/>
      <c r="E103" s="4" t="s">
        <v>35</v>
      </c>
      <c r="V103" s="78"/>
      <c r="Y103" s="327"/>
    </row>
    <row r="104" spans="2:25" ht="30.75">
      <c r="B104" s="52" t="s">
        <v>53</v>
      </c>
      <c r="C104" s="29" t="e">
        <f>IF(W79&lt;0,ABS(W79/C103),0)</f>
        <v>#DIV/0!</v>
      </c>
      <c r="D104" s="29"/>
      <c r="E104" s="4" t="s">
        <v>24</v>
      </c>
      <c r="H104" s="457"/>
      <c r="I104" s="457"/>
      <c r="J104" s="457"/>
      <c r="K104" s="457"/>
      <c r="L104" s="84"/>
      <c r="M104" s="84"/>
      <c r="N104" s="84"/>
      <c r="O104" s="84"/>
      <c r="P104" s="84"/>
      <c r="Q104" s="307"/>
      <c r="R104" s="84"/>
      <c r="S104" s="84"/>
      <c r="T104" s="84"/>
      <c r="X104" s="25"/>
      <c r="Y104" s="327"/>
    </row>
    <row r="105" spans="2:25" ht="34.5" customHeight="1">
      <c r="B105" s="53" t="s">
        <v>55</v>
      </c>
      <c r="C105" s="81">
        <v>43131</v>
      </c>
      <c r="D105" s="81"/>
      <c r="E105" s="29">
        <v>11595.9</v>
      </c>
      <c r="H105" s="4" t="s">
        <v>58</v>
      </c>
      <c r="V105" s="445"/>
      <c r="W105" s="445"/>
      <c r="Y105" s="327"/>
    </row>
    <row r="106" spans="3:25" ht="15">
      <c r="C106" s="81">
        <v>43130</v>
      </c>
      <c r="D106" s="81"/>
      <c r="E106" s="29">
        <v>10674.1</v>
      </c>
      <c r="H106" s="441"/>
      <c r="I106" s="441"/>
      <c r="J106" s="118"/>
      <c r="K106" s="265"/>
      <c r="L106" s="265"/>
      <c r="M106" s="265"/>
      <c r="N106" s="265"/>
      <c r="O106" s="265"/>
      <c r="P106" s="265"/>
      <c r="Q106" s="308"/>
      <c r="R106" s="265"/>
      <c r="S106" s="265"/>
      <c r="T106" s="265"/>
      <c r="U106" s="265"/>
      <c r="V106" s="445"/>
      <c r="W106" s="445"/>
      <c r="Y106" s="327"/>
    </row>
    <row r="107" spans="3:25" ht="15.75" customHeight="1">
      <c r="C107" s="81">
        <v>43129</v>
      </c>
      <c r="D107" s="81"/>
      <c r="E107" s="29">
        <v>8695.2</v>
      </c>
      <c r="H107" s="441"/>
      <c r="I107" s="441"/>
      <c r="J107" s="118"/>
      <c r="K107" s="266"/>
      <c r="L107" s="266"/>
      <c r="M107" s="266"/>
      <c r="N107" s="266"/>
      <c r="O107" s="266"/>
      <c r="P107" s="266"/>
      <c r="Q107" s="309"/>
      <c r="R107" s="266"/>
      <c r="S107" s="266"/>
      <c r="T107" s="266"/>
      <c r="U107" s="266"/>
      <c r="V107" s="445"/>
      <c r="W107" s="445"/>
      <c r="Y107" s="327"/>
    </row>
    <row r="108" spans="3:25" ht="15.75" customHeight="1">
      <c r="C108" s="81"/>
      <c r="D108" s="81"/>
      <c r="G108" s="68"/>
      <c r="H108" s="446"/>
      <c r="I108" s="446"/>
      <c r="J108" s="124"/>
      <c r="K108" s="265"/>
      <c r="L108" s="265"/>
      <c r="M108" s="265"/>
      <c r="N108" s="265"/>
      <c r="O108" s="265"/>
      <c r="P108" s="265"/>
      <c r="Q108" s="308"/>
      <c r="R108" s="265"/>
      <c r="S108" s="265"/>
      <c r="T108" s="265"/>
      <c r="U108" s="265"/>
      <c r="Y108" s="327"/>
    </row>
    <row r="109" spans="2:25" ht="18" customHeight="1">
      <c r="B109" s="439" t="s">
        <v>56</v>
      </c>
      <c r="C109" s="440"/>
      <c r="D109" s="401"/>
      <c r="E109" s="133">
        <f>14560.55/1000</f>
        <v>14.56055</v>
      </c>
      <c r="F109" s="69"/>
      <c r="G109" s="125" t="s">
        <v>107</v>
      </c>
      <c r="H109" s="441"/>
      <c r="I109" s="441"/>
      <c r="J109" s="126"/>
      <c r="K109" s="265"/>
      <c r="L109" s="265"/>
      <c r="M109" s="265"/>
      <c r="N109" s="265"/>
      <c r="O109" s="265"/>
      <c r="P109" s="265"/>
      <c r="Q109" s="308"/>
      <c r="R109" s="265"/>
      <c r="S109" s="265"/>
      <c r="T109" s="265"/>
      <c r="U109" s="265"/>
      <c r="Y109" s="327"/>
    </row>
    <row r="110" spans="7:25" ht="9.75" customHeight="1">
      <c r="G110" s="68"/>
      <c r="H110" s="441"/>
      <c r="I110" s="441"/>
      <c r="J110" s="68"/>
      <c r="K110" s="69"/>
      <c r="L110" s="69"/>
      <c r="M110" s="69"/>
      <c r="N110" s="69"/>
      <c r="O110" s="69"/>
      <c r="P110" s="69"/>
      <c r="Q110" s="310"/>
      <c r="R110" s="69"/>
      <c r="S110" s="69"/>
      <c r="T110" s="69"/>
      <c r="Y110" s="327"/>
    </row>
    <row r="111" spans="2:25" ht="22.5" customHeight="1" hidden="1">
      <c r="B111" s="442" t="s">
        <v>59</v>
      </c>
      <c r="C111" s="443"/>
      <c r="D111" s="402"/>
      <c r="E111" s="80">
        <v>0</v>
      </c>
      <c r="F111" s="51" t="s">
        <v>24</v>
      </c>
      <c r="G111" s="68"/>
      <c r="H111" s="441"/>
      <c r="I111" s="441"/>
      <c r="J111" s="68"/>
      <c r="K111" s="69"/>
      <c r="L111" s="69"/>
      <c r="M111" s="69"/>
      <c r="N111" s="69"/>
      <c r="O111" s="69"/>
      <c r="P111" s="69"/>
      <c r="Q111" s="310"/>
      <c r="R111" s="367"/>
      <c r="S111" s="367"/>
      <c r="T111" s="367"/>
      <c r="U111" s="3"/>
      <c r="V111" s="3"/>
      <c r="W111" s="3"/>
      <c r="X111" s="3"/>
      <c r="Y111" s="327"/>
    </row>
    <row r="112" spans="2:25" ht="15" hidden="1">
      <c r="B112" s="261" t="s">
        <v>149</v>
      </c>
      <c r="E112" s="68">
        <f>E60+E63+E64</f>
        <v>2095</v>
      </c>
      <c r="F112" s="68">
        <f>F60+F63+F64</f>
        <v>147.19</v>
      </c>
      <c r="G112" s="202">
        <f>G60+G63+G64</f>
        <v>149.62</v>
      </c>
      <c r="H112" s="68">
        <f>H60+H63+H64</f>
        <v>2.4299999999999975</v>
      </c>
      <c r="I112" s="69"/>
      <c r="J112" s="69"/>
      <c r="R112" s="3"/>
      <c r="S112" s="3"/>
      <c r="T112" s="3"/>
      <c r="U112" s="113"/>
      <c r="V112" s="113"/>
      <c r="W112" s="113"/>
      <c r="X112" s="3"/>
      <c r="Y112" s="327"/>
    </row>
    <row r="113" spans="5:25" ht="15" hidden="1">
      <c r="E113" s="78"/>
      <c r="J113" s="29"/>
      <c r="R113" s="3"/>
      <c r="S113" s="3"/>
      <c r="T113" s="3"/>
      <c r="U113" s="3"/>
      <c r="V113" s="444"/>
      <c r="W113" s="444"/>
      <c r="X113" s="3"/>
      <c r="Y113" s="327"/>
    </row>
    <row r="114" spans="2:25" ht="15" hidden="1">
      <c r="B114" s="4" t="s">
        <v>118</v>
      </c>
      <c r="E114" s="29">
        <f>E9+E15+E18+E19+E23+E54+E57+E77+E71</f>
        <v>1583334.8</v>
      </c>
      <c r="F114" s="29">
        <f>F9+F15+F18+F19+F23+F54+F57+F77+F71</f>
        <v>112033.899</v>
      </c>
      <c r="G114" s="228">
        <f>G9+G15+G18+G19+G23+G54+G57+G77+G71</f>
        <v>112033.91</v>
      </c>
      <c r="H114" s="29">
        <f>G114-F114</f>
        <v>0.010999999998603016</v>
      </c>
      <c r="I114" s="229">
        <f>G114/F114</f>
        <v>1.0000000981845683</v>
      </c>
      <c r="J114" s="29">
        <f>G114-E114</f>
        <v>-1471300.8900000001</v>
      </c>
      <c r="K114" s="229">
        <f>G114/E114</f>
        <v>0.07075819340293664</v>
      </c>
      <c r="L114" s="229"/>
      <c r="M114" s="229"/>
      <c r="N114" s="229"/>
      <c r="O114" s="229"/>
      <c r="P114" s="229"/>
      <c r="R114" s="3"/>
      <c r="S114" s="3"/>
      <c r="T114" s="3"/>
      <c r="U114" s="113"/>
      <c r="V114" s="113"/>
      <c r="W114" s="113"/>
      <c r="X114" s="398"/>
      <c r="Y114" s="327"/>
    </row>
    <row r="115" spans="2:25" ht="15" hidden="1">
      <c r="B115" s="4" t="s">
        <v>119</v>
      </c>
      <c r="E115" s="29">
        <f>E55+E56+E58+E60+E62+E63+E64+E65+E66+E72+E76+E59+E78</f>
        <v>44582.9</v>
      </c>
      <c r="F115" s="29">
        <f>F55+F56+F58+F60+F62+F63+F64+F65+F66+F72+F76+F59+F78</f>
        <v>3244.6499999999996</v>
      </c>
      <c r="G115" s="228">
        <f>G55+G56+G58+G60+G62+G63+G64+G65+G66+G72+G76+G59+G78</f>
        <v>3244.629999999999</v>
      </c>
      <c r="H115" s="29">
        <f>H55+H56+H58+H60+H62+H63+H64+H65+H66+H72+H76+H59</f>
        <v>-0.020000000000092832</v>
      </c>
      <c r="I115" s="229">
        <f>G115/F115</f>
        <v>0.9999938360069652</v>
      </c>
      <c r="J115" s="29">
        <f>J55+J56+J58+J60+J62+J63+J64+J65+J66+J72+J76+J59</f>
        <v>-41338.270000000004</v>
      </c>
      <c r="K115" s="229">
        <f>G115/E115</f>
        <v>0.07277745503320777</v>
      </c>
      <c r="L115" s="229"/>
      <c r="M115" s="229"/>
      <c r="N115" s="229"/>
      <c r="O115" s="229"/>
      <c r="P115" s="229"/>
      <c r="R115" s="113"/>
      <c r="S115" s="113"/>
      <c r="T115" s="113"/>
      <c r="U115" s="113"/>
      <c r="V115" s="113"/>
      <c r="W115" s="113"/>
      <c r="X115" s="398"/>
      <c r="Y115" s="327"/>
    </row>
    <row r="116" spans="2:25" ht="15" hidden="1">
      <c r="B116" s="4" t="s">
        <v>120</v>
      </c>
      <c r="E116" s="29">
        <f>SUM(E114:E115)</f>
        <v>1627917.7</v>
      </c>
      <c r="F116" s="29">
        <f>SUM(F114:F115)</f>
        <v>115278.549</v>
      </c>
      <c r="G116" s="29">
        <f>SUM(G114:G115)</f>
        <v>115278.54000000001</v>
      </c>
      <c r="H116" s="29">
        <f>SUM(H114:H115)</f>
        <v>-0.009000000001489816</v>
      </c>
      <c r="I116" s="229">
        <f>G116/F116</f>
        <v>0.9999999219282333</v>
      </c>
      <c r="J116" s="29">
        <f>SUM(J114:J115)</f>
        <v>-1512639.1600000001</v>
      </c>
      <c r="K116" s="229">
        <f>G116/E116</f>
        <v>0.07081349382711424</v>
      </c>
      <c r="L116" s="229"/>
      <c r="M116" s="229"/>
      <c r="N116" s="229"/>
      <c r="O116" s="229"/>
      <c r="P116" s="229"/>
      <c r="R116" s="113"/>
      <c r="S116" s="113"/>
      <c r="T116" s="113"/>
      <c r="U116" s="113"/>
      <c r="V116" s="113"/>
      <c r="W116" s="113"/>
      <c r="X116" s="398"/>
      <c r="Y116" s="327"/>
    </row>
    <row r="117" spans="5:25" ht="15" hidden="1">
      <c r="E117" s="29">
        <f>E79-E116</f>
        <v>0</v>
      </c>
      <c r="F117" s="29" t="e">
        <f>#N/A</f>
        <v>#N/A</v>
      </c>
      <c r="G117" s="29" t="e">
        <f>#N/A</f>
        <v>#N/A</v>
      </c>
      <c r="H117" s="29" t="e">
        <f>#N/A</f>
        <v>#N/A</v>
      </c>
      <c r="I117" s="229"/>
      <c r="J117" s="29" t="e">
        <f>#N/A</f>
        <v>#N/A</v>
      </c>
      <c r="K117" s="229"/>
      <c r="L117" s="229"/>
      <c r="M117" s="229"/>
      <c r="N117" s="229"/>
      <c r="O117" s="229"/>
      <c r="P117" s="229"/>
      <c r="R117" s="113"/>
      <c r="S117" s="113"/>
      <c r="T117" s="113"/>
      <c r="U117" s="113"/>
      <c r="V117" s="113"/>
      <c r="W117" s="113"/>
      <c r="X117" s="113"/>
      <c r="Y117" s="327"/>
    </row>
    <row r="118" spans="6:25" ht="15" hidden="1">
      <c r="F118" s="4" t="s">
        <v>58</v>
      </c>
      <c r="R118" s="3"/>
      <c r="S118" s="3"/>
      <c r="T118" s="3"/>
      <c r="U118" s="3"/>
      <c r="V118" s="3"/>
      <c r="W118" s="3"/>
      <c r="X118" s="3"/>
      <c r="Y118" s="327"/>
    </row>
    <row r="119" spans="2:25" ht="15" hidden="1">
      <c r="B119" s="242" t="s">
        <v>140</v>
      </c>
      <c r="F119" s="29">
        <f>F79-F9-F20-F35-F47</f>
        <v>8059.989999999994</v>
      </c>
      <c r="Y119" s="327"/>
    </row>
    <row r="120" spans="2:25" ht="15" hidden="1">
      <c r="B120" s="242" t="s">
        <v>141</v>
      </c>
      <c r="F120" s="29">
        <f>F100-F95-F88-F89</f>
        <v>159.69558000000018</v>
      </c>
      <c r="Y120" s="327"/>
    </row>
    <row r="121" ht="15" hidden="1">
      <c r="Y121" s="327"/>
    </row>
    <row r="122" spans="2:25" ht="18" hidden="1">
      <c r="B122" s="122" t="s">
        <v>136</v>
      </c>
      <c r="C122" s="43">
        <v>25000000</v>
      </c>
      <c r="D122" s="43"/>
      <c r="E122" s="179">
        <v>72408.22</v>
      </c>
      <c r="F122" s="179">
        <v>18102.06</v>
      </c>
      <c r="G122" s="180">
        <v>20254.32</v>
      </c>
      <c r="H122" s="162">
        <f>G122-F122</f>
        <v>2152.2599999999984</v>
      </c>
      <c r="I122" s="164">
        <f>G122/F122*100</f>
        <v>111.88958604711286</v>
      </c>
      <c r="J122" s="167">
        <f>G122-E122</f>
        <v>-52153.9</v>
      </c>
      <c r="K122" s="167">
        <f>G122/E122*100</f>
        <v>27.972404238082362</v>
      </c>
      <c r="L122" s="167"/>
      <c r="M122" s="167"/>
      <c r="N122" s="167"/>
      <c r="O122" s="167"/>
      <c r="P122" s="167"/>
      <c r="Q122" s="208"/>
      <c r="R122" s="167"/>
      <c r="S122" s="167"/>
      <c r="T122" s="250"/>
      <c r="U122" s="248"/>
      <c r="V122" s="248"/>
      <c r="W122" s="249"/>
      <c r="X122" s="249"/>
      <c r="Y122" s="327"/>
    </row>
    <row r="123" spans="2:25" ht="23.25" customHeight="1" hidden="1">
      <c r="B123" s="14" t="s">
        <v>31</v>
      </c>
      <c r="C123" s="66"/>
      <c r="D123" s="66"/>
      <c r="E123" s="190">
        <f>E100+E122</f>
        <v>124993.633</v>
      </c>
      <c r="F123" s="190">
        <f>F100+F122</f>
        <v>19545.93458</v>
      </c>
      <c r="G123" s="190">
        <f>G100+G122</f>
        <v>21698.72</v>
      </c>
      <c r="H123" s="191">
        <f>G123-F123</f>
        <v>2152.78542</v>
      </c>
      <c r="I123" s="192">
        <f>G123/F123*100</f>
        <v>111.01398048371038</v>
      </c>
      <c r="J123" s="193">
        <f>G123-E123</f>
        <v>-103294.913</v>
      </c>
      <c r="K123" s="193">
        <f>G123/E123*100</f>
        <v>17.35986024184128</v>
      </c>
      <c r="L123" s="193"/>
      <c r="M123" s="193"/>
      <c r="N123" s="193"/>
      <c r="O123" s="193"/>
      <c r="P123" s="193"/>
      <c r="Q123" s="220"/>
      <c r="R123" s="193">
        <v>3039.87</v>
      </c>
      <c r="S123" s="193">
        <f>G123-R123</f>
        <v>18658.850000000002</v>
      </c>
      <c r="T123" s="251">
        <f>G123/R123</f>
        <v>7.138042087326103</v>
      </c>
      <c r="U123" s="252"/>
      <c r="V123" s="252"/>
      <c r="W123" s="253"/>
      <c r="X123" s="253"/>
      <c r="Y123" s="327"/>
    </row>
    <row r="124" spans="2:25" ht="17.25" hidden="1">
      <c r="B124" s="21" t="s">
        <v>145</v>
      </c>
      <c r="C124" s="66"/>
      <c r="D124" s="66"/>
      <c r="E124" s="190">
        <f>E123+E79</f>
        <v>1752911.3329999999</v>
      </c>
      <c r="F124" s="190">
        <f>F123+F79</f>
        <v>134824.48358</v>
      </c>
      <c r="G124" s="190">
        <f>G123+G79</f>
        <v>136977.26</v>
      </c>
      <c r="H124" s="191">
        <f>G124-F124</f>
        <v>2152.7764200000092</v>
      </c>
      <c r="I124" s="192">
        <f>G124/F124*100</f>
        <v>101.59672513688704</v>
      </c>
      <c r="J124" s="193">
        <f>G124-E124</f>
        <v>-1615934.0729999999</v>
      </c>
      <c r="K124" s="193">
        <f>G124/E124*100</f>
        <v>7.8142720296965535</v>
      </c>
      <c r="L124" s="193"/>
      <c r="M124" s="193"/>
      <c r="N124" s="193"/>
      <c r="O124" s="193"/>
      <c r="P124" s="193"/>
      <c r="Q124" s="220"/>
      <c r="R124" s="193">
        <f>R101+R123</f>
        <v>101243.07999999999</v>
      </c>
      <c r="S124" s="193">
        <f>G124-R124</f>
        <v>35734.18000000002</v>
      </c>
      <c r="T124" s="251">
        <f>G124/R124</f>
        <v>1.3529542957405092</v>
      </c>
      <c r="U124" s="254"/>
      <c r="V124" s="254"/>
      <c r="W124" s="253"/>
      <c r="X124" s="253"/>
      <c r="Y124" s="327"/>
    </row>
    <row r="125" spans="2:25" ht="15" hidden="1">
      <c r="B125" s="238" t="s">
        <v>147</v>
      </c>
      <c r="C125" s="236">
        <v>40000000</v>
      </c>
      <c r="D125" s="236"/>
      <c r="E125" s="241" t="e">
        <f>#N/A</f>
        <v>#N/A</v>
      </c>
      <c r="F125" s="241" t="e">
        <f>#N/A</f>
        <v>#N/A</v>
      </c>
      <c r="G125" s="241" t="e">
        <f>#N/A</f>
        <v>#N/A</v>
      </c>
      <c r="H125" s="241" t="e">
        <f>#N/A</f>
        <v>#N/A</v>
      </c>
      <c r="I125" s="241" t="e">
        <f>G125/F125*100</f>
        <v>#N/A</v>
      </c>
      <c r="J125" s="36" t="e">
        <f>#N/A</f>
        <v>#N/A</v>
      </c>
      <c r="K125" s="36" t="e">
        <f>G125/E125*100</f>
        <v>#N/A</v>
      </c>
      <c r="L125" s="278"/>
      <c r="M125" s="278"/>
      <c r="N125" s="278"/>
      <c r="O125" s="278"/>
      <c r="P125" s="278"/>
      <c r="Q125" s="311"/>
      <c r="X125" s="89"/>
      <c r="Y125" s="327"/>
    </row>
    <row r="126" spans="2:25" ht="26.25" hidden="1">
      <c r="B126" s="237" t="s">
        <v>138</v>
      </c>
      <c r="C126" s="236">
        <v>41033900</v>
      </c>
      <c r="D126" s="236"/>
      <c r="E126" s="241">
        <v>243334.5</v>
      </c>
      <c r="F126" s="241">
        <v>56191.6</v>
      </c>
      <c r="G126" s="241">
        <v>56191.6</v>
      </c>
      <c r="H126" s="241" t="e">
        <f>#N/A</f>
        <v>#N/A</v>
      </c>
      <c r="I126" s="241" t="e">
        <f>#N/A</f>
        <v>#N/A</v>
      </c>
      <c r="J126" s="36" t="e">
        <f>#N/A</f>
        <v>#N/A</v>
      </c>
      <c r="K126" s="36" t="e">
        <f>#N/A</f>
        <v>#N/A</v>
      </c>
      <c r="L126" s="278"/>
      <c r="M126" s="278"/>
      <c r="N126" s="278"/>
      <c r="O126" s="278"/>
      <c r="P126" s="278"/>
      <c r="Q126" s="311"/>
      <c r="X126" s="89"/>
      <c r="Y126" s="327"/>
    </row>
    <row r="127" spans="2:25" ht="26.25" hidden="1">
      <c r="B127" s="237" t="s">
        <v>139</v>
      </c>
      <c r="C127" s="236">
        <v>41034200</v>
      </c>
      <c r="D127" s="236"/>
      <c r="E127" s="241">
        <v>238249.5</v>
      </c>
      <c r="F127" s="241">
        <v>59541.9</v>
      </c>
      <c r="G127" s="241">
        <v>59541.9</v>
      </c>
      <c r="H127" s="241" t="e">
        <f>#N/A</f>
        <v>#N/A</v>
      </c>
      <c r="I127" s="241" t="e">
        <f>#N/A</f>
        <v>#N/A</v>
      </c>
      <c r="J127" s="36" t="e">
        <f>#N/A</f>
        <v>#N/A</v>
      </c>
      <c r="K127" s="36" t="e">
        <f>#N/A</f>
        <v>#N/A</v>
      </c>
      <c r="L127" s="278"/>
      <c r="M127" s="278"/>
      <c r="N127" s="278"/>
      <c r="O127" s="278"/>
      <c r="P127" s="278"/>
      <c r="Q127" s="311"/>
      <c r="X127" s="89"/>
      <c r="Y127" s="327"/>
    </row>
    <row r="128" spans="2:25" s="239" customFormat="1" ht="25.5" customHeight="1" hidden="1">
      <c r="B128" s="255" t="s">
        <v>137</v>
      </c>
      <c r="C128" s="256"/>
      <c r="D128" s="256"/>
      <c r="E128" s="257" t="e">
        <f>E124+E125</f>
        <v>#N/A</v>
      </c>
      <c r="F128" s="257" t="e">
        <f>F124+F125</f>
        <v>#N/A</v>
      </c>
      <c r="G128" s="257" t="e">
        <f>G124+G125</f>
        <v>#N/A</v>
      </c>
      <c r="H128" s="258" t="e">
        <f>#N/A</f>
        <v>#N/A</v>
      </c>
      <c r="I128" s="257" t="e">
        <f>#N/A</f>
        <v>#N/A</v>
      </c>
      <c r="J128" s="259" t="e">
        <f>#N/A</f>
        <v>#N/A</v>
      </c>
      <c r="K128" s="259" t="e">
        <f>#N/A</f>
        <v>#N/A</v>
      </c>
      <c r="L128" s="279"/>
      <c r="M128" s="279"/>
      <c r="N128" s="279"/>
      <c r="O128" s="279"/>
      <c r="P128" s="279"/>
      <c r="Q128" s="312"/>
      <c r="X128" s="240"/>
      <c r="Y128" s="327"/>
    </row>
    <row r="129" ht="15" hidden="1">
      <c r="Y129" s="327"/>
    </row>
    <row r="130" ht="15" hidden="1">
      <c r="Y130" s="327"/>
    </row>
    <row r="131" ht="15" hidden="1">
      <c r="Y131" s="327"/>
    </row>
    <row r="132" ht="15" hidden="1">
      <c r="Y132" s="327"/>
    </row>
    <row r="133" ht="15" hidden="1">
      <c r="Y133" s="327"/>
    </row>
    <row r="134" ht="15" hidden="1">
      <c r="Y134" s="327"/>
    </row>
    <row r="135" spans="2:25" ht="15" hidden="1">
      <c r="B135" s="324" t="s">
        <v>173</v>
      </c>
      <c r="Y135" s="327"/>
    </row>
    <row r="136" spans="1:25" s="6" customFormat="1" ht="30.75" customHeight="1" hidden="1">
      <c r="A136" s="8"/>
      <c r="B136" s="315" t="str">
        <f>B17</f>
        <v>Рентна плата за спеціальне використання лісових ресурсів</v>
      </c>
      <c r="C136" s="360">
        <f>C17</f>
        <v>13010200</v>
      </c>
      <c r="D136" s="360"/>
      <c r="E136" s="376">
        <f aca="true" t="shared" si="47" ref="E136:T137">E17</f>
        <v>0</v>
      </c>
      <c r="F136" s="376">
        <f t="shared" si="47"/>
        <v>0</v>
      </c>
      <c r="G136" s="378">
        <f t="shared" si="47"/>
        <v>0</v>
      </c>
      <c r="H136" s="376">
        <f t="shared" si="47"/>
        <v>0</v>
      </c>
      <c r="I136" s="387">
        <f t="shared" si="47"/>
        <v>0</v>
      </c>
      <c r="J136" s="386">
        <f t="shared" si="47"/>
        <v>0</v>
      </c>
      <c r="K136" s="387">
        <f t="shared" si="47"/>
        <v>0</v>
      </c>
      <c r="L136" s="224">
        <f t="shared" si="47"/>
        <v>0</v>
      </c>
      <c r="M136" s="224">
        <f t="shared" si="47"/>
        <v>0</v>
      </c>
      <c r="N136" s="224">
        <f t="shared" si="47"/>
        <v>0</v>
      </c>
      <c r="O136" s="386">
        <f t="shared" si="47"/>
        <v>0.49</v>
      </c>
      <c r="P136" s="386">
        <f t="shared" si="47"/>
        <v>-0.49</v>
      </c>
      <c r="Q136" s="387">
        <f t="shared" si="47"/>
        <v>0</v>
      </c>
      <c r="R136" s="386">
        <f t="shared" si="47"/>
        <v>0</v>
      </c>
      <c r="S136" s="385">
        <f t="shared" si="47"/>
        <v>0</v>
      </c>
      <c r="T136" s="387" t="e">
        <f t="shared" si="47"/>
        <v>#DIV/0!</v>
      </c>
      <c r="U136" s="363"/>
      <c r="V136" s="363"/>
      <c r="W136" s="363"/>
      <c r="X136" s="363"/>
      <c r="Y136" s="327" t="e">
        <f aca="true" t="shared" si="48" ref="Y136:Y145">T136-Q136</f>
        <v>#DIV/0!</v>
      </c>
    </row>
    <row r="137" spans="1:25" s="6" customFormat="1" ht="30.75" hidden="1">
      <c r="A137" s="8"/>
      <c r="B137" s="316" t="str">
        <f>B18</f>
        <v>Рентна плата за користування надрами для видобування корисних копалин місцевого значення</v>
      </c>
      <c r="C137" s="360">
        <f>C18</f>
        <v>13030200</v>
      </c>
      <c r="D137" s="360"/>
      <c r="E137" s="376">
        <f t="shared" si="47"/>
        <v>235.6</v>
      </c>
      <c r="F137" s="376">
        <f t="shared" si="47"/>
        <v>0</v>
      </c>
      <c r="G137" s="378">
        <f t="shared" si="47"/>
        <v>0</v>
      </c>
      <c r="H137" s="376">
        <f t="shared" si="47"/>
        <v>0</v>
      </c>
      <c r="I137" s="387" t="e">
        <f t="shared" si="47"/>
        <v>#DIV/0!</v>
      </c>
      <c r="J137" s="376">
        <f t="shared" si="47"/>
        <v>-235.6</v>
      </c>
      <c r="K137" s="387">
        <f t="shared" si="47"/>
        <v>0</v>
      </c>
      <c r="L137" s="130">
        <f t="shared" si="47"/>
        <v>0</v>
      </c>
      <c r="M137" s="130">
        <f t="shared" si="47"/>
        <v>0</v>
      </c>
      <c r="N137" s="130">
        <f t="shared" si="47"/>
        <v>0</v>
      </c>
      <c r="O137" s="386">
        <f t="shared" si="47"/>
        <v>220.59</v>
      </c>
      <c r="P137" s="386">
        <f t="shared" si="47"/>
        <v>15.009999999999991</v>
      </c>
      <c r="Q137" s="387">
        <f t="shared" si="47"/>
        <v>1.0680447889750215</v>
      </c>
      <c r="R137" s="386">
        <f t="shared" si="47"/>
        <v>0</v>
      </c>
      <c r="S137" s="385">
        <f t="shared" si="47"/>
        <v>0</v>
      </c>
      <c r="T137" s="387" t="e">
        <f t="shared" si="47"/>
        <v>#DIV/0!</v>
      </c>
      <c r="U137" s="364"/>
      <c r="V137" s="364"/>
      <c r="W137" s="364"/>
      <c r="X137" s="364"/>
      <c r="Y137" s="327" t="e">
        <f t="shared" si="48"/>
        <v>#DIV/0!</v>
      </c>
    </row>
    <row r="138" spans="1:25" s="6" customFormat="1" ht="15" hidden="1">
      <c r="A138" s="8"/>
      <c r="B138" s="317" t="str">
        <f aca="true" t="shared" si="49" ref="B138:T141">B56</f>
        <v>Інші надходження (по актам ДФІУ)</v>
      </c>
      <c r="C138" s="361">
        <f t="shared" si="49"/>
        <v>21080500</v>
      </c>
      <c r="D138" s="361"/>
      <c r="E138" s="379">
        <f t="shared" si="49"/>
        <v>158</v>
      </c>
      <c r="F138" s="379">
        <f t="shared" si="49"/>
        <v>0</v>
      </c>
      <c r="G138" s="380">
        <f t="shared" si="49"/>
        <v>0</v>
      </c>
      <c r="H138" s="379">
        <f t="shared" si="49"/>
        <v>0</v>
      </c>
      <c r="I138" s="388" t="e">
        <f t="shared" si="49"/>
        <v>#DIV/0!</v>
      </c>
      <c r="J138" s="385">
        <f t="shared" si="49"/>
        <v>-158</v>
      </c>
      <c r="K138" s="388">
        <f t="shared" si="49"/>
        <v>0</v>
      </c>
      <c r="L138" s="129">
        <f t="shared" si="49"/>
        <v>0</v>
      </c>
      <c r="M138" s="129">
        <f t="shared" si="49"/>
        <v>0</v>
      </c>
      <c r="N138" s="129">
        <f t="shared" si="49"/>
        <v>0</v>
      </c>
      <c r="O138" s="385">
        <f t="shared" si="49"/>
        <v>153.3</v>
      </c>
      <c r="P138" s="385">
        <f t="shared" si="49"/>
        <v>4.699999999999989</v>
      </c>
      <c r="Q138" s="388">
        <f t="shared" si="49"/>
        <v>1.030658838878017</v>
      </c>
      <c r="R138" s="385">
        <f t="shared" si="49"/>
        <v>14.87</v>
      </c>
      <c r="S138" s="385">
        <f t="shared" si="49"/>
        <v>-14.87</v>
      </c>
      <c r="T138" s="387">
        <f t="shared" si="49"/>
        <v>0</v>
      </c>
      <c r="U138" s="363"/>
      <c r="V138" s="363"/>
      <c r="W138" s="363"/>
      <c r="X138" s="363"/>
      <c r="Y138" s="327">
        <f t="shared" si="48"/>
        <v>-1.030658838878017</v>
      </c>
    </row>
    <row r="139" spans="1:25" s="6" customFormat="1" ht="30.75" hidden="1">
      <c r="A139" s="8"/>
      <c r="B139" s="318" t="str">
        <f t="shared" si="49"/>
        <v>Штрафні санкції за порушення законодавства про патентування</v>
      </c>
      <c r="C139" s="362">
        <f t="shared" si="49"/>
        <v>21080900</v>
      </c>
      <c r="D139" s="362"/>
      <c r="E139" s="381">
        <f t="shared" si="49"/>
        <v>13</v>
      </c>
      <c r="F139" s="381">
        <f t="shared" si="49"/>
        <v>2</v>
      </c>
      <c r="G139" s="382">
        <f t="shared" si="49"/>
        <v>2.02</v>
      </c>
      <c r="H139" s="381">
        <f t="shared" si="49"/>
        <v>0.020000000000000018</v>
      </c>
      <c r="I139" s="389">
        <f t="shared" si="49"/>
        <v>1.01</v>
      </c>
      <c r="J139" s="381">
        <f t="shared" si="49"/>
        <v>-10.98</v>
      </c>
      <c r="K139" s="389">
        <f t="shared" si="49"/>
        <v>0.1553846153846154</v>
      </c>
      <c r="L139" s="235">
        <f t="shared" si="49"/>
        <v>0</v>
      </c>
      <c r="M139" s="235">
        <f t="shared" si="49"/>
        <v>0</v>
      </c>
      <c r="N139" s="235">
        <f t="shared" si="49"/>
        <v>0</v>
      </c>
      <c r="O139" s="390">
        <f t="shared" si="49"/>
        <v>12.95</v>
      </c>
      <c r="P139" s="390">
        <f t="shared" si="49"/>
        <v>0.05000000000000071</v>
      </c>
      <c r="Q139" s="389">
        <f t="shared" si="49"/>
        <v>1.0038610038610039</v>
      </c>
      <c r="R139" s="390">
        <f t="shared" si="49"/>
        <v>0</v>
      </c>
      <c r="S139" s="390">
        <f t="shared" si="49"/>
        <v>2.02</v>
      </c>
      <c r="T139" s="394">
        <f t="shared" si="49"/>
        <v>0</v>
      </c>
      <c r="U139" s="365"/>
      <c r="V139" s="365"/>
      <c r="W139" s="365"/>
      <c r="X139" s="365"/>
      <c r="Y139" s="327">
        <f t="shared" si="48"/>
        <v>-1.0038610038610039</v>
      </c>
    </row>
    <row r="140" spans="1:25" s="6" customFormat="1" ht="15" hidden="1">
      <c r="A140" s="8"/>
      <c r="B140" s="316" t="str">
        <f t="shared" si="49"/>
        <v>Адмінстративні штрафи та інші санкції</v>
      </c>
      <c r="C140" s="360">
        <f t="shared" si="49"/>
        <v>21081100</v>
      </c>
      <c r="D140" s="360"/>
      <c r="E140" s="376">
        <f t="shared" si="49"/>
        <v>744</v>
      </c>
      <c r="F140" s="376">
        <f t="shared" si="49"/>
        <v>28.43</v>
      </c>
      <c r="G140" s="378">
        <f t="shared" si="49"/>
        <v>28.43</v>
      </c>
      <c r="H140" s="376">
        <f t="shared" si="49"/>
        <v>0</v>
      </c>
      <c r="I140" s="387">
        <f t="shared" si="49"/>
        <v>1</v>
      </c>
      <c r="J140" s="376">
        <f t="shared" si="49"/>
        <v>-715.57</v>
      </c>
      <c r="K140" s="387">
        <f t="shared" si="49"/>
        <v>0.03821236559139785</v>
      </c>
      <c r="L140" s="130">
        <f t="shared" si="49"/>
        <v>0</v>
      </c>
      <c r="M140" s="130">
        <f t="shared" si="49"/>
        <v>0</v>
      </c>
      <c r="N140" s="130">
        <f t="shared" si="49"/>
        <v>0</v>
      </c>
      <c r="O140" s="386">
        <f t="shared" si="49"/>
        <v>705.31</v>
      </c>
      <c r="P140" s="386">
        <f t="shared" si="49"/>
        <v>38.690000000000055</v>
      </c>
      <c r="Q140" s="387">
        <f t="shared" si="49"/>
        <v>1.0548553118486907</v>
      </c>
      <c r="R140" s="386">
        <f t="shared" si="49"/>
        <v>11.17</v>
      </c>
      <c r="S140" s="385">
        <f t="shared" si="49"/>
        <v>17.259999999999998</v>
      </c>
      <c r="T140" s="387">
        <f t="shared" si="49"/>
        <v>2.5452103849597134</v>
      </c>
      <c r="U140" s="364"/>
      <c r="V140" s="364"/>
      <c r="W140" s="364"/>
      <c r="X140" s="364"/>
      <c r="Y140" s="327">
        <f t="shared" si="48"/>
        <v>1.4903550731110227</v>
      </c>
    </row>
    <row r="141" spans="1:25" s="6" customFormat="1" ht="46.5" hidden="1">
      <c r="A141" s="8"/>
      <c r="B141" s="316" t="str">
        <f t="shared" si="49"/>
        <v>Адміністративні штрафи та штрафні санкції за порушення законодавства у сфері виробництва та обігу  алкогольних напоїв та тютюнових виробів</v>
      </c>
      <c r="C141" s="360">
        <f t="shared" si="49"/>
        <v>21081500</v>
      </c>
      <c r="D141" s="360"/>
      <c r="E141" s="376">
        <f t="shared" si="49"/>
        <v>115.5</v>
      </c>
      <c r="F141" s="376">
        <f t="shared" si="49"/>
        <v>0</v>
      </c>
      <c r="G141" s="378">
        <f t="shared" si="49"/>
        <v>-6.55</v>
      </c>
      <c r="H141" s="376">
        <f t="shared" si="49"/>
        <v>-6.55</v>
      </c>
      <c r="I141" s="387" t="e">
        <f t="shared" si="49"/>
        <v>#DIV/0!</v>
      </c>
      <c r="J141" s="376">
        <f t="shared" si="49"/>
        <v>-122.05</v>
      </c>
      <c r="K141" s="387">
        <f t="shared" si="49"/>
        <v>-0.05670995670995671</v>
      </c>
      <c r="L141" s="130">
        <f t="shared" si="49"/>
        <v>0</v>
      </c>
      <c r="M141" s="130">
        <f t="shared" si="49"/>
        <v>0</v>
      </c>
      <c r="N141" s="130">
        <f t="shared" si="49"/>
        <v>0</v>
      </c>
      <c r="O141" s="386">
        <f t="shared" si="49"/>
        <v>114.3</v>
      </c>
      <c r="P141" s="386">
        <f t="shared" si="49"/>
        <v>1.2000000000000028</v>
      </c>
      <c r="Q141" s="387">
        <f t="shared" si="49"/>
        <v>1.010498687664042</v>
      </c>
      <c r="R141" s="386">
        <f t="shared" si="49"/>
        <v>0</v>
      </c>
      <c r="S141" s="385">
        <f t="shared" si="49"/>
        <v>-6.55</v>
      </c>
      <c r="T141" s="387" t="e">
        <f t="shared" si="49"/>
        <v>#DIV/0!</v>
      </c>
      <c r="U141" s="364"/>
      <c r="V141" s="364"/>
      <c r="W141" s="364"/>
      <c r="X141" s="364"/>
      <c r="Y141" s="327" t="e">
        <f t="shared" si="48"/>
        <v>#DIV/0!</v>
      </c>
    </row>
    <row r="142" spans="1:25" s="6" customFormat="1" ht="46.5" hidden="1">
      <c r="A142" s="8"/>
      <c r="B142" s="316" t="str">
        <f>B71</f>
        <v>Надходження сум кредиторської та депонентської заборгованості підприємств, організацій та установ, щодо яких минув строк позовної давності</v>
      </c>
      <c r="C142" s="360" t="str">
        <f>C71</f>
        <v>24030000</v>
      </c>
      <c r="D142" s="360"/>
      <c r="E142" s="376">
        <f aca="true" t="shared" si="50" ref="E142:T142">E71</f>
        <v>3</v>
      </c>
      <c r="F142" s="376">
        <f t="shared" si="50"/>
        <v>0</v>
      </c>
      <c r="G142" s="378">
        <f t="shared" si="50"/>
        <v>0</v>
      </c>
      <c r="H142" s="376">
        <f t="shared" si="50"/>
        <v>0</v>
      </c>
      <c r="I142" s="387" t="e">
        <f t="shared" si="50"/>
        <v>#DIV/0!</v>
      </c>
      <c r="J142" s="376">
        <f t="shared" si="50"/>
        <v>-3</v>
      </c>
      <c r="K142" s="387">
        <f t="shared" si="50"/>
        <v>0</v>
      </c>
      <c r="L142" s="130">
        <f t="shared" si="50"/>
        <v>0</v>
      </c>
      <c r="M142" s="130">
        <f t="shared" si="50"/>
        <v>0</v>
      </c>
      <c r="N142" s="130">
        <f t="shared" si="50"/>
        <v>0</v>
      </c>
      <c r="O142" s="386">
        <f t="shared" si="50"/>
        <v>2.04</v>
      </c>
      <c r="P142" s="386">
        <f t="shared" si="50"/>
        <v>0.96</v>
      </c>
      <c r="Q142" s="387">
        <f t="shared" si="50"/>
        <v>1.4705882352941175</v>
      </c>
      <c r="R142" s="386">
        <f t="shared" si="50"/>
        <v>1.67</v>
      </c>
      <c r="S142" s="385">
        <f t="shared" si="50"/>
        <v>-1.67</v>
      </c>
      <c r="T142" s="387">
        <f t="shared" si="50"/>
        <v>0</v>
      </c>
      <c r="U142" s="364"/>
      <c r="V142" s="364"/>
      <c r="W142" s="364"/>
      <c r="X142" s="364"/>
      <c r="Y142" s="327">
        <f t="shared" si="48"/>
        <v>-1.4705882352941175</v>
      </c>
    </row>
    <row r="143" spans="1:25" s="6" customFormat="1" ht="15" hidden="1">
      <c r="A143" s="8"/>
      <c r="B143" s="322" t="str">
        <f>B77</f>
        <v>Надходження коштів від реалізації безхазяйного майна</v>
      </c>
      <c r="C143" s="360">
        <f>C77</f>
        <v>31010200</v>
      </c>
      <c r="D143" s="360"/>
      <c r="E143" s="383">
        <f aca="true" t="shared" si="51" ref="E143:T144">E77</f>
        <v>35</v>
      </c>
      <c r="F143" s="383">
        <f t="shared" si="51"/>
        <v>3.77</v>
      </c>
      <c r="G143" s="384">
        <f t="shared" si="51"/>
        <v>3.77</v>
      </c>
      <c r="H143" s="383">
        <f t="shared" si="51"/>
        <v>0</v>
      </c>
      <c r="I143" s="373">
        <f t="shared" si="51"/>
        <v>1</v>
      </c>
      <c r="J143" s="383">
        <f t="shared" si="51"/>
        <v>-31.23</v>
      </c>
      <c r="K143" s="373">
        <f t="shared" si="51"/>
        <v>0.10771428571428572</v>
      </c>
      <c r="L143" s="131">
        <f t="shared" si="51"/>
        <v>0</v>
      </c>
      <c r="M143" s="131">
        <f t="shared" si="51"/>
        <v>0</v>
      </c>
      <c r="N143" s="131">
        <f t="shared" si="51"/>
        <v>0</v>
      </c>
      <c r="O143" s="391">
        <f t="shared" si="51"/>
        <v>34.22</v>
      </c>
      <c r="P143" s="391">
        <f t="shared" si="51"/>
        <v>0.7800000000000011</v>
      </c>
      <c r="Q143" s="373">
        <f t="shared" si="51"/>
        <v>1.0227936879018118</v>
      </c>
      <c r="R143" s="391">
        <f t="shared" si="51"/>
        <v>1.49</v>
      </c>
      <c r="S143" s="392">
        <f t="shared" si="51"/>
        <v>2.2800000000000002</v>
      </c>
      <c r="T143" s="373">
        <f t="shared" si="51"/>
        <v>2.530201342281879</v>
      </c>
      <c r="U143" s="366"/>
      <c r="V143" s="366"/>
      <c r="W143" s="366"/>
      <c r="X143" s="366"/>
      <c r="Y143" s="327">
        <f t="shared" si="48"/>
        <v>1.5074076543800674</v>
      </c>
    </row>
    <row r="144" spans="1:25" s="6" customFormat="1" ht="30.75" hidden="1">
      <c r="A144" s="8"/>
      <c r="B144" s="322" t="str">
        <f>B78</f>
        <v>Надходження коштів від Держ фонду дорогоцінних металів та дорогоцінного каміння</v>
      </c>
      <c r="C144" s="360">
        <f>C78</f>
        <v>31020000</v>
      </c>
      <c r="D144" s="360"/>
      <c r="E144" s="383">
        <f t="shared" si="51"/>
        <v>0</v>
      </c>
      <c r="F144" s="383">
        <f t="shared" si="51"/>
        <v>0</v>
      </c>
      <c r="G144" s="384">
        <f t="shared" si="51"/>
        <v>0</v>
      </c>
      <c r="H144" s="383">
        <f t="shared" si="51"/>
        <v>0</v>
      </c>
      <c r="I144" s="373" t="e">
        <f t="shared" si="51"/>
        <v>#DIV/0!</v>
      </c>
      <c r="J144" s="383">
        <f t="shared" si="51"/>
        <v>0</v>
      </c>
      <c r="K144" s="373">
        <f t="shared" si="51"/>
        <v>0</v>
      </c>
      <c r="L144" s="131">
        <f t="shared" si="51"/>
        <v>0</v>
      </c>
      <c r="M144" s="131">
        <f t="shared" si="51"/>
        <v>0</v>
      </c>
      <c r="N144" s="131">
        <f t="shared" si="51"/>
        <v>0</v>
      </c>
      <c r="O144" s="391">
        <f t="shared" si="51"/>
        <v>-4.86</v>
      </c>
      <c r="P144" s="391">
        <f t="shared" si="51"/>
        <v>4.86</v>
      </c>
      <c r="Q144" s="373">
        <f t="shared" si="51"/>
        <v>0</v>
      </c>
      <c r="R144" s="391">
        <f t="shared" si="51"/>
        <v>0</v>
      </c>
      <c r="S144" s="392">
        <f t="shared" si="51"/>
        <v>0</v>
      </c>
      <c r="T144" s="373" t="e">
        <f t="shared" si="51"/>
        <v>#DIV/0!</v>
      </c>
      <c r="U144" s="366"/>
      <c r="V144" s="366"/>
      <c r="W144" s="366"/>
      <c r="X144" s="366"/>
      <c r="Y144" s="327" t="e">
        <f t="shared" si="48"/>
        <v>#DIV/0!</v>
      </c>
    </row>
    <row r="145" spans="5:25" ht="15" hidden="1">
      <c r="E145" s="370">
        <f>E136+E137+E138+E139+E140+E141+E142+E143+E144</f>
        <v>1304.1</v>
      </c>
      <c r="F145" s="370">
        <f>F136+F137+F138+F139+F140+F141+F142+F143+F144</f>
        <v>34.2</v>
      </c>
      <c r="G145" s="371">
        <f>G136+G137+G138+G139+G140+G141+G142+G143+G144</f>
        <v>27.669999999999998</v>
      </c>
      <c r="H145" s="370">
        <f>G145-F145</f>
        <v>-6.530000000000005</v>
      </c>
      <c r="I145" s="304">
        <f>G145/F145</f>
        <v>0.80906432748538</v>
      </c>
      <c r="J145" s="370">
        <f>G145-E145</f>
        <v>-1276.4299999999998</v>
      </c>
      <c r="K145" s="304">
        <f>G145/E145</f>
        <v>0.021217698029292232</v>
      </c>
      <c r="L145" s="90"/>
      <c r="M145" s="90"/>
      <c r="N145" s="90"/>
      <c r="O145" s="370">
        <f>O136+O137+O138+O139+O140+O141+O142+O143+O144</f>
        <v>1238.34</v>
      </c>
      <c r="P145" s="370">
        <f>E145-O145</f>
        <v>65.75999999999999</v>
      </c>
      <c r="Q145" s="304">
        <f>E145/O145</f>
        <v>1.053103348030428</v>
      </c>
      <c r="R145" s="370">
        <f>R136+R137+R138+R139+R140+R141+R142+R143+R144</f>
        <v>29.2</v>
      </c>
      <c r="S145" s="370">
        <f>G145-R145</f>
        <v>-1.5300000000000011</v>
      </c>
      <c r="T145" s="393">
        <f>G145/R145</f>
        <v>0.9476027397260274</v>
      </c>
      <c r="U145" s="367"/>
      <c r="V145" s="367"/>
      <c r="W145" s="367"/>
      <c r="X145" s="367"/>
      <c r="Y145" s="330">
        <f t="shared" si="48"/>
        <v>-0.10550060830440056</v>
      </c>
    </row>
    <row r="146" spans="20:25" ht="15" hidden="1">
      <c r="T146" s="69"/>
      <c r="U146" s="367"/>
      <c r="V146" s="367"/>
      <c r="W146" s="367"/>
      <c r="X146" s="367"/>
      <c r="Y146" s="327"/>
    </row>
    <row r="147" spans="2:25" ht="15" hidden="1">
      <c r="B147" s="260" t="s">
        <v>156</v>
      </c>
      <c r="T147" s="69"/>
      <c r="U147" s="367"/>
      <c r="V147" s="367"/>
      <c r="W147" s="367"/>
      <c r="X147" s="367"/>
      <c r="Y147" s="327"/>
    </row>
    <row r="148" spans="1:25" s="6" customFormat="1" ht="30.75" hidden="1">
      <c r="A148" s="8"/>
      <c r="B148" s="314" t="str">
        <f aca="true" t="shared" si="52" ref="B148:T152">B60</f>
        <v>Адміністративний збір за проведення державної реєстрації юридичних осіб та фізичних осіб - підпр</v>
      </c>
      <c r="C148" s="357">
        <f t="shared" si="52"/>
        <v>22010300</v>
      </c>
      <c r="D148" s="357"/>
      <c r="E148" s="376">
        <f t="shared" si="52"/>
        <v>1284</v>
      </c>
      <c r="F148" s="376">
        <f t="shared" si="52"/>
        <v>89.19</v>
      </c>
      <c r="G148" s="378">
        <f t="shared" si="52"/>
        <v>89.19</v>
      </c>
      <c r="H148" s="376">
        <f t="shared" si="52"/>
        <v>0</v>
      </c>
      <c r="I148" s="374">
        <f t="shared" si="52"/>
        <v>1</v>
      </c>
      <c r="J148" s="376">
        <f t="shared" si="52"/>
        <v>-1194.81</v>
      </c>
      <c r="K148" s="374">
        <f t="shared" si="52"/>
        <v>0.0694626168224299</v>
      </c>
      <c r="L148" s="130">
        <f t="shared" si="52"/>
        <v>0</v>
      </c>
      <c r="M148" s="130">
        <f t="shared" si="52"/>
        <v>0</v>
      </c>
      <c r="N148" s="130">
        <f t="shared" si="52"/>
        <v>0</v>
      </c>
      <c r="O148" s="376">
        <f t="shared" si="52"/>
        <v>1205.14</v>
      </c>
      <c r="P148" s="376">
        <f t="shared" si="52"/>
        <v>78.8599999999999</v>
      </c>
      <c r="Q148" s="374">
        <f t="shared" si="52"/>
        <v>1.0654363808354215</v>
      </c>
      <c r="R148" s="376">
        <f t="shared" si="52"/>
        <v>89.45</v>
      </c>
      <c r="S148" s="379">
        <f t="shared" si="52"/>
        <v>-0.2600000000000051</v>
      </c>
      <c r="T148" s="374">
        <f t="shared" si="52"/>
        <v>0.9970933482392398</v>
      </c>
      <c r="U148" s="364"/>
      <c r="V148" s="364"/>
      <c r="W148" s="364"/>
      <c r="X148" s="364"/>
      <c r="Y148" s="327">
        <f aca="true" t="shared" si="53" ref="Y148:Y153">T148-Q148</f>
        <v>-0.06834303259618169</v>
      </c>
    </row>
    <row r="149" spans="1:25" s="6" customFormat="1" ht="15" hidden="1">
      <c r="A149" s="8"/>
      <c r="B149" s="314" t="str">
        <f t="shared" si="52"/>
        <v>Плата за сертифікати</v>
      </c>
      <c r="C149" s="357">
        <f t="shared" si="52"/>
        <v>22010200</v>
      </c>
      <c r="D149" s="357"/>
      <c r="E149" s="376">
        <f t="shared" si="52"/>
        <v>0</v>
      </c>
      <c r="F149" s="376">
        <f t="shared" si="52"/>
        <v>0</v>
      </c>
      <c r="G149" s="378">
        <f t="shared" si="52"/>
        <v>0</v>
      </c>
      <c r="H149" s="376">
        <f t="shared" si="52"/>
        <v>0</v>
      </c>
      <c r="I149" s="374" t="e">
        <f t="shared" si="52"/>
        <v>#DIV/0!</v>
      </c>
      <c r="J149" s="376">
        <f t="shared" si="52"/>
        <v>0</v>
      </c>
      <c r="K149" s="374" t="e">
        <f t="shared" si="52"/>
        <v>#DIV/0!</v>
      </c>
      <c r="L149" s="130">
        <f t="shared" si="52"/>
        <v>0</v>
      </c>
      <c r="M149" s="130">
        <f t="shared" si="52"/>
        <v>0</v>
      </c>
      <c r="N149" s="130">
        <f t="shared" si="52"/>
        <v>0</v>
      </c>
      <c r="O149" s="376">
        <f t="shared" si="52"/>
        <v>23.38</v>
      </c>
      <c r="P149" s="376">
        <f t="shared" si="52"/>
        <v>-23.38</v>
      </c>
      <c r="Q149" s="374">
        <f t="shared" si="52"/>
        <v>0</v>
      </c>
      <c r="R149" s="376">
        <f t="shared" si="52"/>
        <v>0</v>
      </c>
      <c r="S149" s="379">
        <f t="shared" si="52"/>
        <v>0</v>
      </c>
      <c r="T149" s="374">
        <f t="shared" si="52"/>
        <v>0</v>
      </c>
      <c r="U149" s="364"/>
      <c r="V149" s="364"/>
      <c r="W149" s="364"/>
      <c r="X149" s="364"/>
      <c r="Y149" s="327">
        <f t="shared" si="53"/>
        <v>0</v>
      </c>
    </row>
    <row r="150" spans="1:25" s="6" customFormat="1" ht="15" hidden="1">
      <c r="A150" s="8"/>
      <c r="B150" s="320" t="str">
        <f t="shared" si="52"/>
        <v>Плата за надання інших адміністративних послуг</v>
      </c>
      <c r="C150" s="358">
        <f t="shared" si="52"/>
        <v>22012500</v>
      </c>
      <c r="D150" s="358"/>
      <c r="E150" s="377">
        <f t="shared" si="52"/>
        <v>21260</v>
      </c>
      <c r="F150" s="377">
        <f t="shared" si="52"/>
        <v>1890</v>
      </c>
      <c r="G150" s="395">
        <f t="shared" si="52"/>
        <v>1894.1</v>
      </c>
      <c r="H150" s="377">
        <f t="shared" si="52"/>
        <v>4.099999999999909</v>
      </c>
      <c r="I150" s="375">
        <f t="shared" si="52"/>
        <v>1.002169312169312</v>
      </c>
      <c r="J150" s="377">
        <f t="shared" si="52"/>
        <v>-19365.9</v>
      </c>
      <c r="K150" s="375">
        <f t="shared" si="52"/>
        <v>0.08909219190968955</v>
      </c>
      <c r="L150" s="33">
        <f t="shared" si="52"/>
        <v>0</v>
      </c>
      <c r="M150" s="33">
        <f t="shared" si="52"/>
        <v>0</v>
      </c>
      <c r="N150" s="33">
        <f t="shared" si="52"/>
        <v>0</v>
      </c>
      <c r="O150" s="377">
        <f t="shared" si="52"/>
        <v>20110.14</v>
      </c>
      <c r="P150" s="377">
        <f t="shared" si="52"/>
        <v>1149.8600000000006</v>
      </c>
      <c r="Q150" s="375">
        <f t="shared" si="52"/>
        <v>1.0571781200926498</v>
      </c>
      <c r="R150" s="377">
        <f t="shared" si="52"/>
        <v>1052.56</v>
      </c>
      <c r="S150" s="396">
        <f t="shared" si="52"/>
        <v>841.54</v>
      </c>
      <c r="T150" s="375">
        <f t="shared" si="52"/>
        <v>1.7995173671809683</v>
      </c>
      <c r="U150" s="368"/>
      <c r="V150" s="368"/>
      <c r="W150" s="368"/>
      <c r="X150" s="368"/>
      <c r="Y150" s="327">
        <f t="shared" si="53"/>
        <v>0.7423392470883186</v>
      </c>
    </row>
    <row r="151" spans="1:25" s="6" customFormat="1" ht="30.75" hidden="1">
      <c r="A151" s="8"/>
      <c r="B151" s="320" t="str">
        <f t="shared" si="52"/>
        <v>Адміністративний збір за державну реєстрацію речових прав на нерухоме майно та їх обтяжень</v>
      </c>
      <c r="C151" s="358">
        <f t="shared" si="52"/>
        <v>22012600</v>
      </c>
      <c r="D151" s="358"/>
      <c r="E151" s="377">
        <f t="shared" si="52"/>
        <v>767</v>
      </c>
      <c r="F151" s="377">
        <f t="shared" si="52"/>
        <v>57</v>
      </c>
      <c r="G151" s="395">
        <f t="shared" si="52"/>
        <v>59.37</v>
      </c>
      <c r="H151" s="377">
        <f t="shared" si="52"/>
        <v>2.3699999999999974</v>
      </c>
      <c r="I151" s="375">
        <f t="shared" si="52"/>
        <v>1.041578947368421</v>
      </c>
      <c r="J151" s="377">
        <f t="shared" si="52"/>
        <v>-707.63</v>
      </c>
      <c r="K151" s="375">
        <f t="shared" si="52"/>
        <v>0.07740547588005214</v>
      </c>
      <c r="L151" s="33">
        <f t="shared" si="52"/>
        <v>0</v>
      </c>
      <c r="M151" s="33">
        <f t="shared" si="52"/>
        <v>0</v>
      </c>
      <c r="N151" s="33">
        <f t="shared" si="52"/>
        <v>0</v>
      </c>
      <c r="O151" s="377">
        <f t="shared" si="52"/>
        <v>710.04</v>
      </c>
      <c r="P151" s="377">
        <f t="shared" si="52"/>
        <v>56.960000000000036</v>
      </c>
      <c r="Q151" s="375">
        <f t="shared" si="52"/>
        <v>1.0802208326291478</v>
      </c>
      <c r="R151" s="377">
        <f t="shared" si="52"/>
        <v>44.53</v>
      </c>
      <c r="S151" s="396">
        <f t="shared" si="52"/>
        <v>14.839999999999996</v>
      </c>
      <c r="T151" s="375">
        <f t="shared" si="52"/>
        <v>1.3332584774309453</v>
      </c>
      <c r="U151" s="368"/>
      <c r="V151" s="368"/>
      <c r="W151" s="368"/>
      <c r="X151" s="368"/>
      <c r="Y151" s="327">
        <f t="shared" si="53"/>
        <v>0.25303764480179747</v>
      </c>
    </row>
    <row r="152" spans="1:25" s="6" customFormat="1" ht="30.75" hidden="1">
      <c r="A152" s="8"/>
      <c r="B152" s="320" t="str">
        <f t="shared" si="52"/>
        <v>Плата за скорочення термінів надання послуг у сфері державної реєстрації речових прав на нерухоме майно</v>
      </c>
      <c r="C152" s="358">
        <f t="shared" si="52"/>
        <v>22012900</v>
      </c>
      <c r="D152" s="358"/>
      <c r="E152" s="377">
        <f t="shared" si="52"/>
        <v>44</v>
      </c>
      <c r="F152" s="377">
        <f t="shared" si="52"/>
        <v>1</v>
      </c>
      <c r="G152" s="395">
        <f t="shared" si="52"/>
        <v>1.06</v>
      </c>
      <c r="H152" s="377">
        <f t="shared" si="52"/>
        <v>0.06000000000000005</v>
      </c>
      <c r="I152" s="375">
        <f t="shared" si="52"/>
        <v>1.06</v>
      </c>
      <c r="J152" s="377">
        <f t="shared" si="52"/>
        <v>-42.94</v>
      </c>
      <c r="K152" s="375">
        <f t="shared" si="52"/>
        <v>0.024090909090909093</v>
      </c>
      <c r="L152" s="33">
        <f t="shared" si="52"/>
        <v>0</v>
      </c>
      <c r="M152" s="33">
        <f t="shared" si="52"/>
        <v>0</v>
      </c>
      <c r="N152" s="33">
        <f t="shared" si="52"/>
        <v>0</v>
      </c>
      <c r="O152" s="377">
        <f t="shared" si="52"/>
        <v>41.44</v>
      </c>
      <c r="P152" s="377">
        <f t="shared" si="52"/>
        <v>2.5600000000000023</v>
      </c>
      <c r="Q152" s="375">
        <f t="shared" si="52"/>
        <v>1.0617760617760619</v>
      </c>
      <c r="R152" s="377">
        <f t="shared" si="52"/>
        <v>0</v>
      </c>
      <c r="S152" s="396">
        <f t="shared" si="52"/>
        <v>1.06</v>
      </c>
      <c r="T152" s="375" t="e">
        <f t="shared" si="52"/>
        <v>#DIV/0!</v>
      </c>
      <c r="U152" s="368"/>
      <c r="V152" s="368"/>
      <c r="W152" s="368"/>
      <c r="X152" s="368"/>
      <c r="Y152" s="327" t="e">
        <f t="shared" si="53"/>
        <v>#DIV/0!</v>
      </c>
    </row>
    <row r="153" spans="2:25" ht="15" hidden="1">
      <c r="B153" s="260" t="s">
        <v>156</v>
      </c>
      <c r="C153" s="400">
        <v>22010000</v>
      </c>
      <c r="D153" s="400"/>
      <c r="E153" s="370">
        <f>E148+E149+E150+E151+E152</f>
        <v>23355</v>
      </c>
      <c r="F153" s="370">
        <f>F148+F149+F150+F151+F152</f>
        <v>2037.19</v>
      </c>
      <c r="G153" s="371">
        <f>G148+G149+G150+G151+G152</f>
        <v>2043.7199999999998</v>
      </c>
      <c r="H153" s="370">
        <f>G153-F153</f>
        <v>6.529999999999745</v>
      </c>
      <c r="I153" s="304">
        <f>G153/F153</f>
        <v>1.0032053956675615</v>
      </c>
      <c r="J153" s="370">
        <f>G153-E153</f>
        <v>-21311.28</v>
      </c>
      <c r="K153" s="304">
        <f>G153/E153</f>
        <v>0.0875067437379576</v>
      </c>
      <c r="L153" s="90"/>
      <c r="M153" s="90"/>
      <c r="N153" s="90"/>
      <c r="O153" s="370">
        <f>O148+O149+O150+O151+O152</f>
        <v>22090.14</v>
      </c>
      <c r="P153" s="370">
        <f>E153-O153</f>
        <v>1264.8600000000006</v>
      </c>
      <c r="Q153" s="304">
        <f>E153/O153</f>
        <v>1.0572590304995804</v>
      </c>
      <c r="R153" s="370">
        <f>R148+R149+R150+R151+R152</f>
        <v>1186.54</v>
      </c>
      <c r="S153" s="370">
        <f>G153-R153</f>
        <v>857.1799999999998</v>
      </c>
      <c r="T153" s="304">
        <f>G153/R153</f>
        <v>1.7224198088560014</v>
      </c>
      <c r="U153" s="367"/>
      <c r="V153" s="367"/>
      <c r="W153" s="367"/>
      <c r="X153" s="367"/>
      <c r="Y153" s="330">
        <f t="shared" si="53"/>
        <v>0.6651607783564211</v>
      </c>
    </row>
    <row r="154" spans="21:25" ht="15" hidden="1">
      <c r="U154" s="367"/>
      <c r="V154" s="367"/>
      <c r="W154" s="367"/>
      <c r="X154" s="367"/>
      <c r="Y154" s="327"/>
    </row>
    <row r="155" spans="21:25" ht="15" hidden="1">
      <c r="U155" s="367"/>
      <c r="V155" s="367"/>
      <c r="W155" s="367"/>
      <c r="X155" s="367"/>
      <c r="Y155" s="327"/>
    </row>
    <row r="156" spans="2:25" ht="15" hidden="1">
      <c r="B156" s="260" t="s">
        <v>172</v>
      </c>
      <c r="U156" s="367"/>
      <c r="V156" s="367"/>
      <c r="W156" s="367"/>
      <c r="X156" s="367"/>
      <c r="Y156" s="327"/>
    </row>
    <row r="157" spans="1:25" s="6" customFormat="1" ht="15.75" customHeight="1" hidden="1">
      <c r="A157" s="8"/>
      <c r="B157" s="321" t="str">
        <f>B72</f>
        <v>Інші надходження</v>
      </c>
      <c r="C157" s="360" t="str">
        <f>C72</f>
        <v>24060300</v>
      </c>
      <c r="D157" s="360"/>
      <c r="E157" s="391">
        <f aca="true" t="shared" si="54" ref="E157:T157">E72</f>
        <v>8170</v>
      </c>
      <c r="F157" s="391">
        <f t="shared" si="54"/>
        <v>568.65</v>
      </c>
      <c r="G157" s="397">
        <f t="shared" si="54"/>
        <v>568.65</v>
      </c>
      <c r="H157" s="391">
        <f t="shared" si="54"/>
        <v>0</v>
      </c>
      <c r="I157" s="373">
        <f t="shared" si="54"/>
        <v>1</v>
      </c>
      <c r="J157" s="391">
        <f t="shared" si="54"/>
        <v>-7601.35</v>
      </c>
      <c r="K157" s="373">
        <f t="shared" si="54"/>
        <v>0.06960220318237453</v>
      </c>
      <c r="L157" s="359">
        <f t="shared" si="54"/>
        <v>0</v>
      </c>
      <c r="M157" s="359">
        <f t="shared" si="54"/>
        <v>0</v>
      </c>
      <c r="N157" s="359">
        <f t="shared" si="54"/>
        <v>0</v>
      </c>
      <c r="O157" s="391">
        <f t="shared" si="54"/>
        <v>8086.92</v>
      </c>
      <c r="P157" s="391">
        <f t="shared" si="54"/>
        <v>83.07999999999993</v>
      </c>
      <c r="Q157" s="373">
        <f t="shared" si="54"/>
        <v>1.0102733797292418</v>
      </c>
      <c r="R157" s="391">
        <f t="shared" si="54"/>
        <v>2247.33</v>
      </c>
      <c r="S157" s="391">
        <f t="shared" si="54"/>
        <v>-1678.6799999999998</v>
      </c>
      <c r="T157" s="373">
        <f t="shared" si="54"/>
        <v>0.2530335998718479</v>
      </c>
      <c r="U157" s="369"/>
      <c r="V157" s="369"/>
      <c r="W157" s="369"/>
      <c r="X157" s="369"/>
      <c r="Y157" s="327">
        <f>T157-Q157</f>
        <v>-0.7572397798573939</v>
      </c>
    </row>
    <row r="158" spans="1:25" s="6" customFormat="1" ht="44.25" customHeight="1" hidden="1">
      <c r="A158" s="8"/>
      <c r="B158" s="321" t="str">
        <f>B76</f>
        <v>Кошти, що надійдуть від надання учасниками торгів забезпечення їх тендерної пропозиції, які не підлягають поверненню учасникам торгів</v>
      </c>
      <c r="C158" s="360">
        <f>C76</f>
        <v>24061900</v>
      </c>
      <c r="D158" s="360"/>
      <c r="E158" s="391">
        <f aca="true" t="shared" si="55" ref="E158:T158">E76</f>
        <v>174.4</v>
      </c>
      <c r="F158" s="391">
        <f t="shared" si="55"/>
        <v>0</v>
      </c>
      <c r="G158" s="397">
        <f t="shared" si="55"/>
        <v>0</v>
      </c>
      <c r="H158" s="391">
        <f t="shared" si="55"/>
        <v>0</v>
      </c>
      <c r="I158" s="373" t="e">
        <f t="shared" si="55"/>
        <v>#DIV/0!</v>
      </c>
      <c r="J158" s="391">
        <f t="shared" si="55"/>
        <v>-174.4</v>
      </c>
      <c r="K158" s="373">
        <f t="shared" si="55"/>
        <v>0</v>
      </c>
      <c r="L158" s="359">
        <f t="shared" si="55"/>
        <v>0</v>
      </c>
      <c r="M158" s="359">
        <f t="shared" si="55"/>
        <v>0</v>
      </c>
      <c r="N158" s="359">
        <f t="shared" si="55"/>
        <v>0</v>
      </c>
      <c r="O158" s="391">
        <f t="shared" si="55"/>
        <v>142.18</v>
      </c>
      <c r="P158" s="391">
        <f t="shared" si="55"/>
        <v>32.22</v>
      </c>
      <c r="Q158" s="373">
        <f t="shared" si="55"/>
        <v>1.2266141510761006</v>
      </c>
      <c r="R158" s="391">
        <f t="shared" si="55"/>
        <v>32.89</v>
      </c>
      <c r="S158" s="391">
        <f t="shared" si="55"/>
        <v>-32.89</v>
      </c>
      <c r="T158" s="373">
        <f t="shared" si="55"/>
        <v>0</v>
      </c>
      <c r="U158" s="369"/>
      <c r="V158" s="369"/>
      <c r="W158" s="369"/>
      <c r="X158" s="369"/>
      <c r="Y158" s="327">
        <f>T158-Q158</f>
        <v>-1.2266141510761006</v>
      </c>
    </row>
    <row r="159" spans="2:25" ht="15" hidden="1">
      <c r="B159" s="260" t="s">
        <v>172</v>
      </c>
      <c r="C159" s="399">
        <v>24060000</v>
      </c>
      <c r="D159" s="407"/>
      <c r="E159" s="370">
        <f>E157+E158</f>
        <v>8344.4</v>
      </c>
      <c r="F159" s="370">
        <f>F157+F158</f>
        <v>568.65</v>
      </c>
      <c r="G159" s="371">
        <f>G157+G158</f>
        <v>568.65</v>
      </c>
      <c r="H159" s="372">
        <f>G159-F159</f>
        <v>0</v>
      </c>
      <c r="I159" s="304">
        <f>G159/F159</f>
        <v>1</v>
      </c>
      <c r="J159" s="370">
        <f>G159-E159</f>
        <v>-7775.75</v>
      </c>
      <c r="K159" s="304">
        <f>G159/E159</f>
        <v>0.06814750011984085</v>
      </c>
      <c r="L159" s="90"/>
      <c r="M159" s="90"/>
      <c r="N159" s="90"/>
      <c r="O159" s="370">
        <f>O157+O158</f>
        <v>8229.1</v>
      </c>
      <c r="P159" s="370">
        <f>E159-O159</f>
        <v>115.29999999999927</v>
      </c>
      <c r="Q159" s="304">
        <f>E159/O159</f>
        <v>1.0140112527493892</v>
      </c>
      <c r="R159" s="370">
        <f>R157+R158</f>
        <v>2280.22</v>
      </c>
      <c r="S159" s="370">
        <f>G159-R159</f>
        <v>-1711.5699999999997</v>
      </c>
      <c r="T159" s="304">
        <f>G159/R159</f>
        <v>0.24938383138469097</v>
      </c>
      <c r="U159" s="367"/>
      <c r="V159" s="367"/>
      <c r="W159" s="367"/>
      <c r="X159" s="367"/>
      <c r="Y159" s="330">
        <f>T159-Q159</f>
        <v>-0.7646274213646982</v>
      </c>
    </row>
    <row r="160" spans="21:24" ht="15" hidden="1">
      <c r="U160" s="367"/>
      <c r="V160" s="367"/>
      <c r="W160" s="367"/>
      <c r="X160" s="367"/>
    </row>
    <row r="161" spans="21:24" ht="15" hidden="1">
      <c r="U161" s="367"/>
      <c r="V161" s="367"/>
      <c r="W161" s="367"/>
      <c r="X161" s="367"/>
    </row>
    <row r="162" spans="21:24" ht="15" hidden="1">
      <c r="U162" s="367"/>
      <c r="V162" s="367"/>
      <c r="W162" s="367"/>
      <c r="X162" s="367"/>
    </row>
    <row r="163" spans="21:24" ht="15" hidden="1">
      <c r="U163" s="367"/>
      <c r="V163" s="367"/>
      <c r="W163" s="367"/>
      <c r="X163" s="367"/>
    </row>
    <row r="164" spans="21:24" ht="15" hidden="1">
      <c r="U164" s="367"/>
      <c r="V164" s="367"/>
      <c r="W164" s="367"/>
      <c r="X164" s="367"/>
    </row>
    <row r="165" spans="21:24" ht="15" hidden="1">
      <c r="U165" s="367"/>
      <c r="V165" s="367"/>
      <c r="W165" s="367"/>
      <c r="X165" s="367"/>
    </row>
    <row r="166" spans="21:24" ht="15">
      <c r="U166" s="367"/>
      <c r="V166" s="367"/>
      <c r="W166" s="367"/>
      <c r="X166" s="367"/>
    </row>
    <row r="167" spans="21:24" ht="15">
      <c r="U167" s="367"/>
      <c r="V167" s="367"/>
      <c r="W167" s="367"/>
      <c r="X167" s="367"/>
    </row>
    <row r="168" spans="21:24" ht="15">
      <c r="U168" s="367"/>
      <c r="V168" s="367"/>
      <c r="W168" s="367"/>
      <c r="X168" s="367"/>
    </row>
  </sheetData>
  <sheetProtection/>
  <mergeCells count="35"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V3:X3"/>
    <mergeCell ref="W4:W5"/>
    <mergeCell ref="X4:X5"/>
    <mergeCell ref="L5:N5"/>
    <mergeCell ref="O5:Q5"/>
    <mergeCell ref="R5:T5"/>
    <mergeCell ref="H104:K104"/>
    <mergeCell ref="H4:H5"/>
    <mergeCell ref="I4:I5"/>
    <mergeCell ref="J4:J5"/>
    <mergeCell ref="K4:K5"/>
    <mergeCell ref="V113:W113"/>
    <mergeCell ref="V105:W105"/>
    <mergeCell ref="H106:I106"/>
    <mergeCell ref="V106:W106"/>
    <mergeCell ref="H107:I107"/>
    <mergeCell ref="V107:W107"/>
    <mergeCell ref="H108:I108"/>
    <mergeCell ref="D3:D5"/>
    <mergeCell ref="B109:C109"/>
    <mergeCell ref="H109:I109"/>
    <mergeCell ref="H110:I110"/>
    <mergeCell ref="B111:C111"/>
    <mergeCell ref="H111:I111"/>
    <mergeCell ref="G4:G5"/>
    <mergeCell ref="F4:F5"/>
  </mergeCells>
  <printOptions/>
  <pageMargins left="0.7086614173228347" right="0" top="0.15748031496062992" bottom="0" header="0" footer="0"/>
  <pageSetup fitToHeight="1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168"/>
  <sheetViews>
    <sheetView zoomScale="77" zoomScaleNormal="77" zoomScalePageLayoutView="0" workbookViewId="0" topLeftCell="B1">
      <pane xSplit="2" ySplit="8" topLeftCell="D5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0" sqref="B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hidden="1" customWidth="1"/>
    <col min="10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229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3" width="11.00390625" style="4" hidden="1" customWidth="1"/>
    <col min="24" max="24" width="11.375" style="277" hidden="1" customWidth="1"/>
    <col min="25" max="25" width="0" style="4" hidden="1" customWidth="1"/>
    <col min="26" max="16384" width="9.125" style="4" customWidth="1"/>
  </cols>
  <sheetData>
    <row r="1" spans="1:24" s="1" customFormat="1" ht="26.25" customHeight="1">
      <c r="A1" s="464" t="s">
        <v>174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277"/>
    </row>
    <row r="2" spans="2:24" s="1" customFormat="1" ht="15.75" customHeight="1">
      <c r="B2" s="465"/>
      <c r="C2" s="465"/>
      <c r="D2" s="465"/>
      <c r="E2" s="2"/>
      <c r="F2" s="112"/>
      <c r="G2" s="2"/>
      <c r="H2" s="2"/>
      <c r="P2" s="302"/>
      <c r="S2" s="1" t="s">
        <v>24</v>
      </c>
      <c r="W2" s="17" t="s">
        <v>24</v>
      </c>
      <c r="X2" s="277"/>
    </row>
    <row r="3" spans="1:24" s="3" customFormat="1" ht="13.5" customHeight="1">
      <c r="A3" s="466"/>
      <c r="B3" s="468"/>
      <c r="C3" s="469" t="s">
        <v>0</v>
      </c>
      <c r="D3" s="438" t="s">
        <v>135</v>
      </c>
      <c r="E3" s="32"/>
      <c r="F3" s="470" t="s">
        <v>26</v>
      </c>
      <c r="G3" s="471"/>
      <c r="H3" s="471"/>
      <c r="I3" s="471"/>
      <c r="J3" s="472"/>
      <c r="K3" s="83" t="s">
        <v>152</v>
      </c>
      <c r="L3" s="83"/>
      <c r="M3" s="83"/>
      <c r="N3" s="83" t="s">
        <v>152</v>
      </c>
      <c r="O3" s="83"/>
      <c r="P3" s="303"/>
      <c r="Q3" s="83"/>
      <c r="R3" s="83"/>
      <c r="S3" s="83"/>
      <c r="T3" s="483" t="s">
        <v>122</v>
      </c>
      <c r="U3" s="474" t="s">
        <v>123</v>
      </c>
      <c r="V3" s="474"/>
      <c r="W3" s="474"/>
      <c r="X3" s="323"/>
    </row>
    <row r="4" spans="1:23" ht="22.5" customHeight="1">
      <c r="A4" s="466"/>
      <c r="B4" s="468"/>
      <c r="C4" s="469"/>
      <c r="D4" s="438"/>
      <c r="E4" s="475" t="s">
        <v>125</v>
      </c>
      <c r="F4" s="458" t="s">
        <v>33</v>
      </c>
      <c r="G4" s="447" t="s">
        <v>169</v>
      </c>
      <c r="H4" s="460" t="s">
        <v>170</v>
      </c>
      <c r="I4" s="447" t="s">
        <v>132</v>
      </c>
      <c r="J4" s="460" t="s">
        <v>133</v>
      </c>
      <c r="K4" s="85" t="s">
        <v>153</v>
      </c>
      <c r="L4" s="203" t="s">
        <v>113</v>
      </c>
      <c r="M4" s="90" t="s">
        <v>63</v>
      </c>
      <c r="N4" s="85" t="s">
        <v>134</v>
      </c>
      <c r="O4" s="203" t="s">
        <v>113</v>
      </c>
      <c r="P4" s="304" t="s">
        <v>63</v>
      </c>
      <c r="Q4" s="85" t="s">
        <v>134</v>
      </c>
      <c r="R4" s="203" t="s">
        <v>113</v>
      </c>
      <c r="S4" s="90" t="s">
        <v>63</v>
      </c>
      <c r="T4" s="460"/>
      <c r="U4" s="462" t="s">
        <v>175</v>
      </c>
      <c r="V4" s="447" t="s">
        <v>49</v>
      </c>
      <c r="W4" s="449" t="s">
        <v>48</v>
      </c>
    </row>
    <row r="5" spans="1:23" ht="67.5" customHeight="1">
      <c r="A5" s="467"/>
      <c r="B5" s="468"/>
      <c r="C5" s="469"/>
      <c r="D5" s="438"/>
      <c r="E5" s="476"/>
      <c r="F5" s="459"/>
      <c r="G5" s="448"/>
      <c r="H5" s="461"/>
      <c r="I5" s="448"/>
      <c r="J5" s="461"/>
      <c r="K5" s="450" t="s">
        <v>154</v>
      </c>
      <c r="L5" s="451"/>
      <c r="M5" s="452"/>
      <c r="N5" s="453" t="s">
        <v>155</v>
      </c>
      <c r="O5" s="454"/>
      <c r="P5" s="455"/>
      <c r="Q5" s="456" t="s">
        <v>171</v>
      </c>
      <c r="R5" s="456"/>
      <c r="S5" s="456"/>
      <c r="T5" s="461"/>
      <c r="U5" s="463"/>
      <c r="V5" s="448"/>
      <c r="W5" s="449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05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05"/>
      <c r="Q7" s="10"/>
      <c r="R7" s="10"/>
      <c r="S7" s="10"/>
      <c r="T7" s="10"/>
      <c r="U7" s="143"/>
      <c r="V7" s="10"/>
      <c r="W7" s="10"/>
    </row>
    <row r="8" spans="1:25" s="6" customFormat="1" ht="17.25">
      <c r="A8" s="7"/>
      <c r="B8" s="154" t="s">
        <v>9</v>
      </c>
      <c r="C8" s="70" t="s">
        <v>10</v>
      </c>
      <c r="D8" s="151">
        <v>1330946.1</v>
      </c>
      <c r="E8" s="151">
        <v>1330946.1</v>
      </c>
      <c r="F8" s="151">
        <v>1329586.1300000001</v>
      </c>
      <c r="G8" s="151">
        <v>-1359.969999999972</v>
      </c>
      <c r="H8" s="341">
        <v>0.998978193031258</v>
      </c>
      <c r="I8" s="153">
        <v>-1359.969999999972</v>
      </c>
      <c r="J8" s="218">
        <v>0.998978193031258</v>
      </c>
      <c r="K8" s="153"/>
      <c r="L8" s="153"/>
      <c r="M8" s="153"/>
      <c r="N8" s="153">
        <v>984796</v>
      </c>
      <c r="O8" s="153">
        <v>346150.1000000001</v>
      </c>
      <c r="P8" s="218">
        <v>1.3514942180918688</v>
      </c>
      <c r="Q8" s="151">
        <v>984796</v>
      </c>
      <c r="R8" s="151">
        <v>344790.1300000001</v>
      </c>
      <c r="S8" s="204">
        <v>1.3501132518816081</v>
      </c>
      <c r="T8" s="151">
        <v>148380.5</v>
      </c>
      <c r="U8" s="151">
        <v>123393.64000000012</v>
      </c>
      <c r="V8" s="151">
        <v>-24986.859999999884</v>
      </c>
      <c r="W8" s="204">
        <v>0.8316028049507861</v>
      </c>
      <c r="X8" s="329">
        <f aca="true" t="shared" si="0" ref="X8:X22">S8-P8</f>
        <v>-0.0013809662102606257</v>
      </c>
      <c r="Y8" s="404">
        <f>S8-P8</f>
        <v>-0.0013809662102606257</v>
      </c>
    </row>
    <row r="9" spans="1:25" s="6" customFormat="1" ht="18">
      <c r="A9" s="8"/>
      <c r="B9" s="130" t="s">
        <v>79</v>
      </c>
      <c r="C9" s="43">
        <v>11010000</v>
      </c>
      <c r="D9" s="150">
        <v>774189.5</v>
      </c>
      <c r="E9" s="150">
        <v>774189.5</v>
      </c>
      <c r="F9" s="156">
        <v>775821.8</v>
      </c>
      <c r="G9" s="150">
        <v>1632.3000000000466</v>
      </c>
      <c r="H9" s="339">
        <v>1.0021083985251673</v>
      </c>
      <c r="I9" s="158">
        <v>1632.3000000000466</v>
      </c>
      <c r="J9" s="209">
        <v>1.0021083985251673</v>
      </c>
      <c r="K9" s="158"/>
      <c r="L9" s="158"/>
      <c r="M9" s="158"/>
      <c r="N9" s="158">
        <v>541908.6</v>
      </c>
      <c r="O9" s="158">
        <v>232280.90000000002</v>
      </c>
      <c r="P9" s="209">
        <v>1.4286348288253776</v>
      </c>
      <c r="Q9" s="226">
        <v>541908.6</v>
      </c>
      <c r="R9" s="159">
        <v>233913.20000000007</v>
      </c>
      <c r="S9" s="205">
        <v>1.4316469603914757</v>
      </c>
      <c r="T9" s="157">
        <v>88523.5</v>
      </c>
      <c r="U9" s="160">
        <v>86380.6100000001</v>
      </c>
      <c r="V9" s="161">
        <v>-2142.8899999998976</v>
      </c>
      <c r="W9" s="209">
        <v>0.9757929815246811</v>
      </c>
      <c r="X9" s="330">
        <f t="shared" si="0"/>
        <v>0.003012131566098031</v>
      </c>
      <c r="Y9" s="403">
        <f aca="true" t="shared" si="1" ref="Y9:Y72">S9-P9</f>
        <v>0.003012131566098031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713361.5</v>
      </c>
      <c r="E10" s="103">
        <v>713361.5</v>
      </c>
      <c r="F10" s="140">
        <v>709899.75</v>
      </c>
      <c r="G10" s="103">
        <v>-3461.75</v>
      </c>
      <c r="H10" s="340">
        <v>0.9951472710540168</v>
      </c>
      <c r="I10" s="104">
        <v>-3461.75</v>
      </c>
      <c r="J10" s="109">
        <v>0.9951472710540168</v>
      </c>
      <c r="K10" s="104"/>
      <c r="L10" s="104"/>
      <c r="M10" s="104"/>
      <c r="N10" s="104">
        <v>476189.93</v>
      </c>
      <c r="O10" s="104">
        <v>237171.57</v>
      </c>
      <c r="P10" s="109">
        <v>1.4980608682758159</v>
      </c>
      <c r="Q10" s="106">
        <v>476189.93</v>
      </c>
      <c r="R10" s="106">
        <v>233709.82</v>
      </c>
      <c r="S10" s="206">
        <v>1.490791184937489</v>
      </c>
      <c r="T10" s="105">
        <v>87047.5</v>
      </c>
      <c r="U10" s="144">
        <v>78262.39000000001</v>
      </c>
      <c r="V10" s="106">
        <v>-8785.109999999986</v>
      </c>
      <c r="W10" s="109">
        <v>0.8990768258709327</v>
      </c>
      <c r="X10" s="328">
        <f t="shared" si="0"/>
        <v>-0.007269683338326782</v>
      </c>
      <c r="Y10" s="403">
        <f t="shared" si="1"/>
        <v>-0.007269683338326782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v>42006</v>
      </c>
      <c r="F11" s="140">
        <v>42516.41</v>
      </c>
      <c r="G11" s="103">
        <v>510.4100000000035</v>
      </c>
      <c r="H11" s="340">
        <v>1.012150883207161</v>
      </c>
      <c r="I11" s="104">
        <v>510.4100000000035</v>
      </c>
      <c r="J11" s="109">
        <v>1.012150883207161</v>
      </c>
      <c r="K11" s="104"/>
      <c r="L11" s="104"/>
      <c r="M11" s="104"/>
      <c r="N11" s="104">
        <v>42401.33</v>
      </c>
      <c r="O11" s="104">
        <v>-395.33000000000175</v>
      </c>
      <c r="P11" s="109">
        <v>0.9906764717050148</v>
      </c>
      <c r="Q11" s="106">
        <v>42401.33</v>
      </c>
      <c r="R11" s="106">
        <v>115.08000000000175</v>
      </c>
      <c r="S11" s="206">
        <v>1.0027140658087847</v>
      </c>
      <c r="T11" s="105">
        <v>0</v>
      </c>
      <c r="U11" s="144">
        <v>5033.6700000000055</v>
      </c>
      <c r="V11" s="106">
        <v>5033.6700000000055</v>
      </c>
      <c r="W11" s="109" t="e">
        <v>#DIV/0!</v>
      </c>
      <c r="X11" s="328">
        <f t="shared" si="0"/>
        <v>0.012037594103769922</v>
      </c>
      <c r="Y11" s="403">
        <f t="shared" si="1"/>
        <v>0.012037594103769922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8280</v>
      </c>
      <c r="F12" s="140">
        <v>11992.15</v>
      </c>
      <c r="G12" s="103">
        <v>3712.1499999999996</v>
      </c>
      <c r="H12" s="340">
        <v>1.4483272946859902</v>
      </c>
      <c r="I12" s="104">
        <v>3712.1499999999996</v>
      </c>
      <c r="J12" s="109">
        <v>1.4483272946859902</v>
      </c>
      <c r="K12" s="104"/>
      <c r="L12" s="104"/>
      <c r="M12" s="104"/>
      <c r="N12" s="104">
        <v>10663.92</v>
      </c>
      <c r="O12" s="104">
        <v>-2383.92</v>
      </c>
      <c r="P12" s="109">
        <v>0.7764499358584835</v>
      </c>
      <c r="Q12" s="106">
        <v>10663.92</v>
      </c>
      <c r="R12" s="106">
        <v>1328.2299999999996</v>
      </c>
      <c r="S12" s="206">
        <v>1.1245536350610281</v>
      </c>
      <c r="T12" s="105">
        <v>780</v>
      </c>
      <c r="U12" s="144">
        <v>2521.119999999999</v>
      </c>
      <c r="V12" s="106">
        <v>1741.119999999999</v>
      </c>
      <c r="W12" s="109">
        <v>3.232205128205127</v>
      </c>
      <c r="X12" s="328">
        <f t="shared" si="0"/>
        <v>0.3481036992025446</v>
      </c>
      <c r="Y12" s="403">
        <f t="shared" si="1"/>
        <v>0.3481036992025446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9390</v>
      </c>
      <c r="F13" s="140">
        <v>10036.81</v>
      </c>
      <c r="G13" s="103">
        <v>646.8099999999995</v>
      </c>
      <c r="H13" s="340">
        <v>1.0688828541001065</v>
      </c>
      <c r="I13" s="104">
        <v>646.8099999999995</v>
      </c>
      <c r="J13" s="109">
        <v>1.0688828541001065</v>
      </c>
      <c r="K13" s="104"/>
      <c r="L13" s="104"/>
      <c r="M13" s="104"/>
      <c r="N13" s="104">
        <v>9532.64</v>
      </c>
      <c r="O13" s="104">
        <v>-142.63999999999942</v>
      </c>
      <c r="P13" s="109">
        <v>0.9850366739958711</v>
      </c>
      <c r="Q13" s="106">
        <v>9532.64</v>
      </c>
      <c r="R13" s="106">
        <v>504.1700000000001</v>
      </c>
      <c r="S13" s="206">
        <v>1.0528888114939827</v>
      </c>
      <c r="T13" s="105">
        <v>600</v>
      </c>
      <c r="U13" s="144">
        <v>439.21999999999935</v>
      </c>
      <c r="V13" s="106">
        <v>-160.78000000000065</v>
      </c>
      <c r="W13" s="109">
        <v>0.7320333333333322</v>
      </c>
      <c r="X13" s="328">
        <f t="shared" si="0"/>
        <v>0.06785213749811159</v>
      </c>
      <c r="Y13" s="403">
        <f t="shared" si="1"/>
        <v>0.06785213749811159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1152</v>
      </c>
      <c r="F14" s="140">
        <v>1376.68</v>
      </c>
      <c r="G14" s="103">
        <v>224.68000000000006</v>
      </c>
      <c r="H14" s="340">
        <v>1.1950347222222222</v>
      </c>
      <c r="I14" s="104">
        <v>224.68000000000006</v>
      </c>
      <c r="J14" s="109">
        <v>1.1950347222222222</v>
      </c>
      <c r="K14" s="104"/>
      <c r="L14" s="104"/>
      <c r="M14" s="104"/>
      <c r="N14" s="104">
        <v>3120.73</v>
      </c>
      <c r="O14" s="104">
        <v>-1968.73</v>
      </c>
      <c r="P14" s="109">
        <v>0.36914439890666606</v>
      </c>
      <c r="Q14" s="106">
        <v>3120.73</v>
      </c>
      <c r="R14" s="106">
        <v>-1744.05</v>
      </c>
      <c r="S14" s="206">
        <v>0.4411403742073169</v>
      </c>
      <c r="T14" s="105">
        <v>96</v>
      </c>
      <c r="U14" s="144">
        <v>124.21000000000004</v>
      </c>
      <c r="V14" s="106">
        <v>28.210000000000036</v>
      </c>
      <c r="W14" s="109">
        <v>1.293854166666667</v>
      </c>
      <c r="X14" s="328">
        <f t="shared" si="0"/>
        <v>0.07199597530065083</v>
      </c>
      <c r="Y14" s="403">
        <f t="shared" si="1"/>
        <v>0.07199597530065083</v>
      </c>
    </row>
    <row r="15" spans="1:25" s="6" customFormat="1" ht="30.75">
      <c r="A15" s="8"/>
      <c r="B15" s="131" t="s">
        <v>11</v>
      </c>
      <c r="C15" s="43">
        <v>11020200</v>
      </c>
      <c r="D15" s="150">
        <v>887.5</v>
      </c>
      <c r="E15" s="150">
        <v>887.5</v>
      </c>
      <c r="F15" s="156">
        <v>887.61</v>
      </c>
      <c r="G15" s="150">
        <v>0.11000000000001364</v>
      </c>
      <c r="H15" s="339">
        <v>1.0001239436619718</v>
      </c>
      <c r="I15" s="158">
        <v>0.11000000000001364</v>
      </c>
      <c r="J15" s="158">
        <v>100.01239436619717</v>
      </c>
      <c r="K15" s="158"/>
      <c r="L15" s="158"/>
      <c r="M15" s="158"/>
      <c r="N15" s="158">
        <v>459.29</v>
      </c>
      <c r="O15" s="158">
        <v>428.21</v>
      </c>
      <c r="P15" s="209">
        <v>1.9323303359533193</v>
      </c>
      <c r="Q15" s="161">
        <v>459.29</v>
      </c>
      <c r="R15" s="161">
        <v>428.32</v>
      </c>
      <c r="S15" s="207">
        <v>1.9325698360512966</v>
      </c>
      <c r="T15" s="157">
        <v>436.5</v>
      </c>
      <c r="U15" s="160">
        <v>0</v>
      </c>
      <c r="V15" s="161">
        <v>-436.5</v>
      </c>
      <c r="W15" s="209">
        <v>0</v>
      </c>
      <c r="X15" s="327">
        <f t="shared" si="0"/>
        <v>0.00023950009797735206</v>
      </c>
      <c r="Y15" s="403">
        <f t="shared" si="1"/>
        <v>0.00023950009797735206</v>
      </c>
    </row>
    <row r="16" spans="1:25" s="6" customFormat="1" ht="18" customHeight="1" hidden="1">
      <c r="A16" s="8"/>
      <c r="B16" s="325" t="s">
        <v>65</v>
      </c>
      <c r="C16" s="102">
        <v>11010232</v>
      </c>
      <c r="D16" s="103">
        <v>0</v>
      </c>
      <c r="E16" s="150">
        <v>0</v>
      </c>
      <c r="F16" s="140">
        <v>0</v>
      </c>
      <c r="G16" s="150">
        <v>0</v>
      </c>
      <c r="H16" s="339" t="e">
        <v>#DIV/0!</v>
      </c>
      <c r="I16" s="158">
        <v>0</v>
      </c>
      <c r="J16" s="158" t="e">
        <v>#DIV/0!</v>
      </c>
      <c r="K16" s="158"/>
      <c r="L16" s="158"/>
      <c r="M16" s="158"/>
      <c r="N16" s="158"/>
      <c r="O16" s="158">
        <v>0</v>
      </c>
      <c r="P16" s="209" t="e">
        <v>#DIV/0!</v>
      </c>
      <c r="Q16" s="161">
        <v>0</v>
      </c>
      <c r="R16" s="161">
        <v>0</v>
      </c>
      <c r="S16" s="207" t="e">
        <v>#DIV/0!</v>
      </c>
      <c r="T16" s="157">
        <v>0</v>
      </c>
      <c r="U16" s="160">
        <v>0</v>
      </c>
      <c r="V16" s="161">
        <v>0</v>
      </c>
      <c r="W16" s="209" t="e">
        <v>#DIV/0!</v>
      </c>
      <c r="X16" s="327" t="e">
        <f t="shared" si="0"/>
        <v>#DIV/0!</v>
      </c>
      <c r="Y16" s="403" t="e">
        <f t="shared" si="1"/>
        <v>#DIV/0!</v>
      </c>
    </row>
    <row r="17" spans="1:25" s="6" customFormat="1" ht="30.75" customHeight="1">
      <c r="A17" s="8"/>
      <c r="B17" s="224" t="s">
        <v>116</v>
      </c>
      <c r="C17" s="120">
        <v>13010200</v>
      </c>
      <c r="D17" s="162">
        <v>0</v>
      </c>
      <c r="E17" s="150">
        <v>0</v>
      </c>
      <c r="F17" s="163">
        <v>0.49</v>
      </c>
      <c r="G17" s="150">
        <v>0.49</v>
      </c>
      <c r="H17" s="339"/>
      <c r="I17" s="158">
        <v>0.49</v>
      </c>
      <c r="J17" s="158"/>
      <c r="K17" s="158"/>
      <c r="L17" s="158"/>
      <c r="M17" s="158"/>
      <c r="N17" s="158">
        <v>0.17</v>
      </c>
      <c r="O17" s="158">
        <v>-0.17</v>
      </c>
      <c r="P17" s="209">
        <v>0</v>
      </c>
      <c r="Q17" s="161">
        <v>0.17</v>
      </c>
      <c r="R17" s="161">
        <v>0.31999999999999995</v>
      </c>
      <c r="S17" s="207">
        <v>2.88235294117647</v>
      </c>
      <c r="T17" s="157">
        <v>0</v>
      </c>
      <c r="U17" s="160">
        <v>0</v>
      </c>
      <c r="V17" s="161">
        <v>0</v>
      </c>
      <c r="W17" s="209"/>
      <c r="X17" s="327">
        <f t="shared" si="0"/>
        <v>2.88235294117647</v>
      </c>
      <c r="Y17" s="403">
        <f t="shared" si="1"/>
        <v>2.88235294117647</v>
      </c>
    </row>
    <row r="18" spans="1:25" s="6" customFormat="1" ht="30.75">
      <c r="A18" s="8"/>
      <c r="B18" s="130" t="s">
        <v>117</v>
      </c>
      <c r="C18" s="120">
        <v>13030200</v>
      </c>
      <c r="D18" s="150">
        <v>220</v>
      </c>
      <c r="E18" s="150">
        <v>220</v>
      </c>
      <c r="F18" s="156">
        <v>220.59</v>
      </c>
      <c r="G18" s="150">
        <v>0.5900000000000034</v>
      </c>
      <c r="H18" s="339">
        <v>1.0026818181818182</v>
      </c>
      <c r="I18" s="158">
        <v>0.5900000000000034</v>
      </c>
      <c r="J18" s="158">
        <v>100.26818181818183</v>
      </c>
      <c r="K18" s="158"/>
      <c r="L18" s="158"/>
      <c r="M18" s="158"/>
      <c r="N18" s="158">
        <v>124.7</v>
      </c>
      <c r="O18" s="158">
        <v>95.3</v>
      </c>
      <c r="P18" s="209">
        <v>1.764234161988773</v>
      </c>
      <c r="Q18" s="161">
        <v>124.7</v>
      </c>
      <c r="R18" s="161">
        <v>95.89</v>
      </c>
      <c r="S18" s="207">
        <v>1.7689655172413794</v>
      </c>
      <c r="T18" s="157">
        <v>95</v>
      </c>
      <c r="U18" s="160">
        <v>0</v>
      </c>
      <c r="V18" s="161">
        <v>-95</v>
      </c>
      <c r="W18" s="209">
        <v>0</v>
      </c>
      <c r="X18" s="327">
        <f t="shared" si="0"/>
        <v>0.004731355252606484</v>
      </c>
      <c r="Y18" s="403">
        <f t="shared" si="1"/>
        <v>0.004731355252606484</v>
      </c>
    </row>
    <row r="19" spans="1:25" s="6" customFormat="1" ht="18">
      <c r="A19" s="8"/>
      <c r="B19" s="130" t="s">
        <v>144</v>
      </c>
      <c r="C19" s="43"/>
      <c r="D19" s="150">
        <v>125700</v>
      </c>
      <c r="E19" s="150">
        <v>125700</v>
      </c>
      <c r="F19" s="222">
        <v>121950.14</v>
      </c>
      <c r="G19" s="150">
        <v>-3749.8600000000006</v>
      </c>
      <c r="H19" s="339">
        <v>0.9701681782020685</v>
      </c>
      <c r="I19" s="158">
        <v>-3749.8600000000006</v>
      </c>
      <c r="J19" s="158">
        <v>97.01681782020685</v>
      </c>
      <c r="K19" s="158"/>
      <c r="L19" s="158"/>
      <c r="M19" s="158"/>
      <c r="N19" s="158">
        <v>101799.72</v>
      </c>
      <c r="O19" s="158">
        <v>23900.28</v>
      </c>
      <c r="P19" s="209">
        <v>1.234777463042138</v>
      </c>
      <c r="Q19" s="161">
        <v>101799.72</v>
      </c>
      <c r="R19" s="161">
        <v>20150.42</v>
      </c>
      <c r="S19" s="207">
        <v>1.197941801804563</v>
      </c>
      <c r="T19" s="157">
        <v>8800</v>
      </c>
      <c r="U19" s="160">
        <v>10478.199999999997</v>
      </c>
      <c r="V19" s="161">
        <v>1678.199999999997</v>
      </c>
      <c r="W19" s="209">
        <v>1.190704545454545</v>
      </c>
      <c r="X19" s="327">
        <f t="shared" si="0"/>
        <v>-0.03683566123757509</v>
      </c>
      <c r="Y19" s="403">
        <f t="shared" si="1"/>
        <v>-0.03683566123757509</v>
      </c>
    </row>
    <row r="20" spans="1:25" s="6" customFormat="1" ht="61.5">
      <c r="A20" s="8"/>
      <c r="B20" s="243" t="s">
        <v>150</v>
      </c>
      <c r="C20" s="123">
        <v>14040000</v>
      </c>
      <c r="D20" s="244">
        <v>63400</v>
      </c>
      <c r="E20" s="244">
        <v>63400</v>
      </c>
      <c r="F20" s="200">
        <v>60736.45</v>
      </c>
      <c r="G20" s="244">
        <v>-2663.550000000003</v>
      </c>
      <c r="H20" s="342">
        <v>0.9579881703470031</v>
      </c>
      <c r="I20" s="245">
        <v>-2663.550000000003</v>
      </c>
      <c r="J20" s="245">
        <v>95.7988170347003</v>
      </c>
      <c r="K20" s="245"/>
      <c r="L20" s="245"/>
      <c r="M20" s="245"/>
      <c r="N20" s="245">
        <v>101799.72</v>
      </c>
      <c r="O20" s="245">
        <v>-38399.72</v>
      </c>
      <c r="P20" s="271">
        <v>0.6227914968724865</v>
      </c>
      <c r="Q20" s="166">
        <v>101799.72</v>
      </c>
      <c r="R20" s="166">
        <v>-41063.270000000004</v>
      </c>
      <c r="S20" s="246">
        <v>0.5966268865965446</v>
      </c>
      <c r="T20" s="194">
        <v>0</v>
      </c>
      <c r="U20" s="178">
        <v>4289.43</v>
      </c>
      <c r="V20" s="166">
        <v>4289.43</v>
      </c>
      <c r="W20" s="271" t="e">
        <v>#DIV/0!</v>
      </c>
      <c r="X20" s="327">
        <f t="shared" si="0"/>
        <v>-0.026164610275941858</v>
      </c>
      <c r="Y20" s="403">
        <f t="shared" si="1"/>
        <v>-0.026164610275941858</v>
      </c>
    </row>
    <row r="21" spans="1:25" s="6" customFormat="1" ht="18">
      <c r="A21" s="8"/>
      <c r="B21" s="243" t="s">
        <v>142</v>
      </c>
      <c r="C21" s="123">
        <v>14021900</v>
      </c>
      <c r="D21" s="244">
        <v>12200</v>
      </c>
      <c r="E21" s="244">
        <v>12200</v>
      </c>
      <c r="F21" s="200">
        <v>12528.71</v>
      </c>
      <c r="G21" s="244">
        <v>328.7099999999991</v>
      </c>
      <c r="H21" s="342">
        <v>1.0269434426229507</v>
      </c>
      <c r="I21" s="245">
        <v>328.7099999999991</v>
      </c>
      <c r="J21" s="245">
        <v>102.69434426229506</v>
      </c>
      <c r="K21" s="245"/>
      <c r="L21" s="245"/>
      <c r="M21" s="245"/>
      <c r="N21" s="245"/>
      <c r="O21" s="245"/>
      <c r="P21" s="271"/>
      <c r="Q21" s="166">
        <v>0</v>
      </c>
      <c r="R21" s="166">
        <v>12528.71</v>
      </c>
      <c r="S21" s="246"/>
      <c r="T21" s="194">
        <v>1000</v>
      </c>
      <c r="U21" s="178">
        <v>1346.3099999999995</v>
      </c>
      <c r="V21" s="166">
        <v>346.3099999999995</v>
      </c>
      <c r="W21" s="271">
        <v>1.3463099999999995</v>
      </c>
      <c r="X21" s="327">
        <f t="shared" si="0"/>
        <v>0</v>
      </c>
      <c r="Y21" s="403">
        <f t="shared" si="1"/>
        <v>0</v>
      </c>
    </row>
    <row r="22" spans="1:25" s="6" customFormat="1" ht="18">
      <c r="A22" s="8"/>
      <c r="B22" s="243" t="s">
        <v>143</v>
      </c>
      <c r="C22" s="123">
        <v>14031900</v>
      </c>
      <c r="D22" s="244">
        <v>50100</v>
      </c>
      <c r="E22" s="244">
        <v>50100</v>
      </c>
      <c r="F22" s="200">
        <v>48684.98</v>
      </c>
      <c r="G22" s="244">
        <v>-1415.0199999999968</v>
      </c>
      <c r="H22" s="342">
        <v>0.9717560878243514</v>
      </c>
      <c r="I22" s="245">
        <v>-1415.0199999999968</v>
      </c>
      <c r="J22" s="245">
        <v>97.17560878243515</v>
      </c>
      <c r="K22" s="245"/>
      <c r="L22" s="245"/>
      <c r="M22" s="245"/>
      <c r="N22" s="245"/>
      <c r="O22" s="245"/>
      <c r="P22" s="271"/>
      <c r="Q22" s="166">
        <v>0</v>
      </c>
      <c r="R22" s="166">
        <v>48684.98</v>
      </c>
      <c r="S22" s="246"/>
      <c r="T22" s="194">
        <v>7800</v>
      </c>
      <c r="U22" s="178">
        <v>4842.460000000006</v>
      </c>
      <c r="V22" s="166">
        <v>-2957.5399999999936</v>
      </c>
      <c r="W22" s="271">
        <v>0.6208282051282059</v>
      </c>
      <c r="X22" s="327">
        <f t="shared" si="0"/>
        <v>0</v>
      </c>
      <c r="Y22" s="403">
        <f t="shared" si="1"/>
        <v>0</v>
      </c>
    </row>
    <row r="23" spans="1:25" s="6" customFormat="1" ht="18">
      <c r="A23" s="8"/>
      <c r="B23" s="326" t="s">
        <v>73</v>
      </c>
      <c r="C23" s="43">
        <v>18000000</v>
      </c>
      <c r="D23" s="150">
        <v>429949.1</v>
      </c>
      <c r="E23" s="150">
        <v>429949.1</v>
      </c>
      <c r="F23" s="222">
        <v>430705.5</v>
      </c>
      <c r="G23" s="150">
        <v>756.4000000000233</v>
      </c>
      <c r="H23" s="339">
        <v>1.001759278016863</v>
      </c>
      <c r="I23" s="158">
        <v>756.4000000000233</v>
      </c>
      <c r="J23" s="158">
        <v>100.1759278016863</v>
      </c>
      <c r="K23" s="158"/>
      <c r="L23" s="158"/>
      <c r="M23" s="158"/>
      <c r="N23" s="158">
        <v>340503.51</v>
      </c>
      <c r="O23" s="158">
        <v>89445.58999999997</v>
      </c>
      <c r="P23" s="209">
        <v>1.2626862495484994</v>
      </c>
      <c r="Q23" s="158">
        <v>340503.51</v>
      </c>
      <c r="R23" s="161">
        <v>90201.98999999999</v>
      </c>
      <c r="S23" s="208">
        <v>1.2649076657095253</v>
      </c>
      <c r="T23" s="157">
        <v>50525.5</v>
      </c>
      <c r="U23" s="160">
        <v>26534.830000000016</v>
      </c>
      <c r="V23" s="161">
        <v>-23990.669999999984</v>
      </c>
      <c r="W23" s="209">
        <v>0.5251769898368154</v>
      </c>
      <c r="X23" s="327">
        <f>S23-P23</f>
        <v>0.002221416161025891</v>
      </c>
      <c r="Y23" s="403">
        <f t="shared" si="1"/>
        <v>0.002221416161025891</v>
      </c>
    </row>
    <row r="24" spans="1:25" s="6" customFormat="1" ht="18">
      <c r="A24" s="8"/>
      <c r="B24" s="44" t="s">
        <v>81</v>
      </c>
      <c r="C24" s="114">
        <v>18010000</v>
      </c>
      <c r="D24" s="150">
        <v>208931</v>
      </c>
      <c r="E24" s="150">
        <v>208931</v>
      </c>
      <c r="F24" s="222">
        <v>207231.02999999997</v>
      </c>
      <c r="G24" s="150">
        <v>-1699.9700000000303</v>
      </c>
      <c r="H24" s="339">
        <v>0.9918634860312734</v>
      </c>
      <c r="I24" s="158">
        <v>-1699.9700000000303</v>
      </c>
      <c r="J24" s="209">
        <v>0.9918634860312734</v>
      </c>
      <c r="K24" s="158"/>
      <c r="L24" s="158"/>
      <c r="M24" s="158"/>
      <c r="N24" s="158">
        <v>182295.05</v>
      </c>
      <c r="O24" s="158">
        <v>26635.95000000001</v>
      </c>
      <c r="P24" s="209">
        <v>1.14611449954346</v>
      </c>
      <c r="Q24" s="158">
        <v>182295.05</v>
      </c>
      <c r="R24" s="161">
        <v>24935.97999999998</v>
      </c>
      <c r="S24" s="208">
        <v>1.1367891229081644</v>
      </c>
      <c r="T24" s="157">
        <v>17369.899999999994</v>
      </c>
      <c r="U24" s="160">
        <v>15975.219999999972</v>
      </c>
      <c r="V24" s="161">
        <v>-1394.6800000000221</v>
      </c>
      <c r="W24" s="209">
        <v>0.9197070794880786</v>
      </c>
      <c r="X24" s="327">
        <f aca="true" t="shared" si="2" ref="X24:X99">S24-P24</f>
        <v>-0.009325376635295646</v>
      </c>
      <c r="Y24" s="403">
        <f t="shared" si="1"/>
        <v>-0.009325376635295646</v>
      </c>
    </row>
    <row r="25" spans="1:25" s="6" customFormat="1" ht="18">
      <c r="A25" s="8"/>
      <c r="B25" s="50" t="s">
        <v>74</v>
      </c>
      <c r="C25" s="123"/>
      <c r="D25" s="244">
        <v>24989</v>
      </c>
      <c r="E25" s="332">
        <v>24989</v>
      </c>
      <c r="F25" s="200">
        <v>25414.16</v>
      </c>
      <c r="G25" s="244">
        <v>425.15999999999985</v>
      </c>
      <c r="H25" s="342">
        <v>1.0170138861098883</v>
      </c>
      <c r="I25" s="245">
        <v>425.15999999999985</v>
      </c>
      <c r="J25" s="271">
        <v>1.0170138861098883</v>
      </c>
      <c r="K25" s="245"/>
      <c r="L25" s="245"/>
      <c r="M25" s="245"/>
      <c r="N25" s="245">
        <v>21482.16</v>
      </c>
      <c r="O25" s="245">
        <v>3506.84</v>
      </c>
      <c r="P25" s="271">
        <v>1.16324429200788</v>
      </c>
      <c r="Q25" s="270">
        <v>21482.16</v>
      </c>
      <c r="R25" s="166">
        <v>3932</v>
      </c>
      <c r="S25" s="214">
        <v>1.1830355979100797</v>
      </c>
      <c r="T25" s="194">
        <v>2724.9000000000015</v>
      </c>
      <c r="U25" s="178">
        <v>903.9300000000003</v>
      </c>
      <c r="V25" s="166">
        <v>-1820.9700000000012</v>
      </c>
      <c r="W25" s="271">
        <v>0.3317296047561378</v>
      </c>
      <c r="X25" s="327">
        <f t="shared" si="2"/>
        <v>0.019791305902199685</v>
      </c>
      <c r="Y25" s="403">
        <f t="shared" si="1"/>
        <v>0.019791305902199685</v>
      </c>
    </row>
    <row r="26" spans="1:25" s="6" customFormat="1" ht="18" customHeight="1" hidden="1">
      <c r="A26" s="8"/>
      <c r="B26" s="195" t="s">
        <v>109</v>
      </c>
      <c r="C26" s="196"/>
      <c r="D26" s="198">
        <v>1822.3</v>
      </c>
      <c r="E26" s="198">
        <v>1822.3</v>
      </c>
      <c r="F26" s="198">
        <v>1512.89</v>
      </c>
      <c r="G26" s="222">
        <v>-309.40999999999985</v>
      </c>
      <c r="H26" s="343">
        <v>0.8302090764418593</v>
      </c>
      <c r="I26" s="267">
        <v>-309.40999999999985</v>
      </c>
      <c r="J26" s="306">
        <v>0.8302090764418593</v>
      </c>
      <c r="K26" s="267"/>
      <c r="L26" s="267"/>
      <c r="M26" s="267"/>
      <c r="N26" s="267">
        <v>842.7</v>
      </c>
      <c r="O26" s="267">
        <v>979.5999999999999</v>
      </c>
      <c r="P26" s="306">
        <v>2.162454016850599</v>
      </c>
      <c r="Q26" s="199">
        <v>842.7</v>
      </c>
      <c r="R26" s="331">
        <v>670.19</v>
      </c>
      <c r="S26" s="227">
        <v>1.7952889521775246</v>
      </c>
      <c r="T26" s="234">
        <v>55</v>
      </c>
      <c r="U26" s="234">
        <v>105.1099999999999</v>
      </c>
      <c r="V26" s="267">
        <v>50.1099999999999</v>
      </c>
      <c r="W26" s="306">
        <v>191.10909090909072</v>
      </c>
      <c r="X26" s="327">
        <f t="shared" si="2"/>
        <v>-0.3671650646730744</v>
      </c>
      <c r="Y26" s="403">
        <f t="shared" si="1"/>
        <v>-0.3671650646730744</v>
      </c>
    </row>
    <row r="27" spans="1:25" s="6" customFormat="1" ht="18" customHeight="1" hidden="1">
      <c r="A27" s="8"/>
      <c r="B27" s="195" t="s">
        <v>110</v>
      </c>
      <c r="C27" s="196"/>
      <c r="D27" s="198">
        <v>23166.699999999997</v>
      </c>
      <c r="E27" s="198">
        <v>23166.699999999997</v>
      </c>
      <c r="F27" s="198">
        <v>23901.28</v>
      </c>
      <c r="G27" s="222">
        <v>734.5800000000017</v>
      </c>
      <c r="H27" s="343">
        <v>1.0317084435849733</v>
      </c>
      <c r="I27" s="267">
        <v>734.5800000000017</v>
      </c>
      <c r="J27" s="306">
        <v>1.0317084435849733</v>
      </c>
      <c r="K27" s="267"/>
      <c r="L27" s="267"/>
      <c r="M27" s="267"/>
      <c r="N27" s="267">
        <v>20639.46</v>
      </c>
      <c r="O27" s="267">
        <v>2527.239999999998</v>
      </c>
      <c r="P27" s="306">
        <v>1.1224470020048973</v>
      </c>
      <c r="Q27" s="199">
        <v>20639.46</v>
      </c>
      <c r="R27" s="331">
        <v>3261.8199999999997</v>
      </c>
      <c r="S27" s="227">
        <v>1.1580380494450921</v>
      </c>
      <c r="T27" s="234">
        <v>2669.899999999998</v>
      </c>
      <c r="U27" s="234">
        <v>798.8199999999997</v>
      </c>
      <c r="V27" s="267">
        <v>-1871.079999999998</v>
      </c>
      <c r="W27" s="306">
        <v>29.91947263942471</v>
      </c>
      <c r="X27" s="327">
        <f t="shared" si="2"/>
        <v>0.03559104744019481</v>
      </c>
      <c r="Y27" s="403">
        <f t="shared" si="1"/>
        <v>0.03559104744019481</v>
      </c>
    </row>
    <row r="28" spans="1:25" s="6" customFormat="1" ht="18" customHeight="1" hidden="1">
      <c r="A28" s="8"/>
      <c r="B28" s="336" t="s">
        <v>159</v>
      </c>
      <c r="C28" s="196">
        <v>18010100</v>
      </c>
      <c r="D28" s="349">
        <v>922.3</v>
      </c>
      <c r="E28" s="350">
        <v>922.3</v>
      </c>
      <c r="F28" s="337">
        <v>275.91</v>
      </c>
      <c r="G28" s="349">
        <v>-646.3899999999999</v>
      </c>
      <c r="H28" s="351">
        <v>0.2991542881925621</v>
      </c>
      <c r="I28" s="352">
        <v>-646.3899999999999</v>
      </c>
      <c r="J28" s="353">
        <v>0.2991542881925621</v>
      </c>
      <c r="K28" s="267"/>
      <c r="L28" s="267"/>
      <c r="M28" s="267"/>
      <c r="N28" s="352">
        <v>395.2</v>
      </c>
      <c r="O28" s="352">
        <v>527.0999999999999</v>
      </c>
      <c r="P28" s="353">
        <v>2.3337550607287447</v>
      </c>
      <c r="Q28" s="352">
        <v>395.2</v>
      </c>
      <c r="R28" s="352">
        <v>-119.28999999999996</v>
      </c>
      <c r="S28" s="353">
        <v>0.6981528340080972</v>
      </c>
      <c r="T28" s="337">
        <v>5</v>
      </c>
      <c r="U28" s="337">
        <v>15.050000000000011</v>
      </c>
      <c r="V28" s="352">
        <v>10.050000000000011</v>
      </c>
      <c r="W28" s="353">
        <v>301.0000000000002</v>
      </c>
      <c r="X28" s="327"/>
      <c r="Y28" s="403">
        <f t="shared" si="1"/>
        <v>-1.6356022267206476</v>
      </c>
    </row>
    <row r="29" spans="1:25" s="6" customFormat="1" ht="18" customHeight="1" hidden="1">
      <c r="A29" s="8"/>
      <c r="B29" s="336" t="s">
        <v>157</v>
      </c>
      <c r="C29" s="196">
        <v>18010200</v>
      </c>
      <c r="D29" s="349">
        <v>900</v>
      </c>
      <c r="E29" s="350">
        <v>900</v>
      </c>
      <c r="F29" s="337">
        <v>1236.98</v>
      </c>
      <c r="G29" s="349">
        <v>336.98</v>
      </c>
      <c r="H29" s="351">
        <v>1.3744222222222222</v>
      </c>
      <c r="I29" s="352">
        <v>336.98</v>
      </c>
      <c r="J29" s="353">
        <v>1.3744222222222222</v>
      </c>
      <c r="K29" s="267"/>
      <c r="L29" s="267"/>
      <c r="M29" s="267"/>
      <c r="N29" s="352">
        <v>447.5</v>
      </c>
      <c r="O29" s="352">
        <v>452.5</v>
      </c>
      <c r="P29" s="353">
        <v>2.011173184357542</v>
      </c>
      <c r="Q29" s="352">
        <v>447.5</v>
      </c>
      <c r="R29" s="352">
        <v>789.48</v>
      </c>
      <c r="S29" s="353">
        <v>2.7642011173184358</v>
      </c>
      <c r="T29" s="337">
        <v>50</v>
      </c>
      <c r="U29" s="337">
        <v>90.05999999999995</v>
      </c>
      <c r="V29" s="352">
        <v>40.059999999999945</v>
      </c>
      <c r="W29" s="353">
        <v>180.1199999999999</v>
      </c>
      <c r="X29" s="327"/>
      <c r="Y29" s="403">
        <f t="shared" si="1"/>
        <v>0.7530279329608938</v>
      </c>
    </row>
    <row r="30" spans="1:25" s="6" customFormat="1" ht="18" customHeight="1" hidden="1">
      <c r="A30" s="8"/>
      <c r="B30" s="336" t="s">
        <v>158</v>
      </c>
      <c r="C30" s="196">
        <v>18010300</v>
      </c>
      <c r="D30" s="349">
        <v>2019.1</v>
      </c>
      <c r="E30" s="350">
        <v>2019.1</v>
      </c>
      <c r="F30" s="337">
        <v>2220.25</v>
      </c>
      <c r="G30" s="349">
        <v>201.1500000000001</v>
      </c>
      <c r="H30" s="351">
        <v>1.099623594670893</v>
      </c>
      <c r="I30" s="352">
        <v>201.1500000000001</v>
      </c>
      <c r="J30" s="353">
        <v>1.099623594670893</v>
      </c>
      <c r="K30" s="267"/>
      <c r="L30" s="267"/>
      <c r="M30" s="267"/>
      <c r="N30" s="352">
        <v>1968.01</v>
      </c>
      <c r="O30" s="352">
        <v>51.08999999999992</v>
      </c>
      <c r="P30" s="353">
        <v>1.0259602339419007</v>
      </c>
      <c r="Q30" s="352">
        <v>1968.01</v>
      </c>
      <c r="R30" s="352">
        <v>252.24</v>
      </c>
      <c r="S30" s="353">
        <v>1.128170080436583</v>
      </c>
      <c r="T30" s="337">
        <v>0</v>
      </c>
      <c r="U30" s="337">
        <v>123.38000000000011</v>
      </c>
      <c r="V30" s="352">
        <v>123.38000000000011</v>
      </c>
      <c r="W30" s="353" t="e">
        <v>#DIV/0!</v>
      </c>
      <c r="X30" s="327"/>
      <c r="Y30" s="403">
        <f t="shared" si="1"/>
        <v>0.10220984649468234</v>
      </c>
    </row>
    <row r="31" spans="1:25" s="6" customFormat="1" ht="18" customHeight="1" hidden="1">
      <c r="A31" s="8"/>
      <c r="B31" s="336" t="s">
        <v>160</v>
      </c>
      <c r="C31" s="196">
        <v>18010400</v>
      </c>
      <c r="D31" s="349">
        <v>21147.6</v>
      </c>
      <c r="E31" s="350">
        <v>21147.6</v>
      </c>
      <c r="F31" s="337">
        <v>21681.03</v>
      </c>
      <c r="G31" s="349">
        <v>533.4300000000003</v>
      </c>
      <c r="H31" s="351">
        <v>1.02522413890938</v>
      </c>
      <c r="I31" s="352">
        <v>533.4300000000003</v>
      </c>
      <c r="J31" s="353">
        <v>1.02522413890938</v>
      </c>
      <c r="K31" s="267"/>
      <c r="L31" s="267"/>
      <c r="M31" s="267"/>
      <c r="N31" s="352">
        <v>18671.45</v>
      </c>
      <c r="O31" s="352">
        <v>2476.149999999998</v>
      </c>
      <c r="P31" s="353">
        <v>1.132616909774013</v>
      </c>
      <c r="Q31" s="352">
        <v>18671.45</v>
      </c>
      <c r="R31" s="352">
        <v>3009.579999999998</v>
      </c>
      <c r="S31" s="353">
        <v>1.1611861960372654</v>
      </c>
      <c r="T31" s="337">
        <v>2669.899999999998</v>
      </c>
      <c r="U31" s="337">
        <v>675.4399999999987</v>
      </c>
      <c r="V31" s="352"/>
      <c r="W31" s="353">
        <v>25.298325779991732</v>
      </c>
      <c r="X31" s="327"/>
      <c r="Y31" s="403">
        <f t="shared" si="1"/>
        <v>0.02856928626325228</v>
      </c>
    </row>
    <row r="32" spans="1:25" s="6" customFormat="1" ht="18">
      <c r="A32" s="8"/>
      <c r="B32" s="50" t="s">
        <v>75</v>
      </c>
      <c r="C32" s="123"/>
      <c r="D32" s="170">
        <v>650</v>
      </c>
      <c r="E32" s="333">
        <v>650</v>
      </c>
      <c r="F32" s="171">
        <v>645.26</v>
      </c>
      <c r="G32" s="244">
        <v>-4.740000000000009</v>
      </c>
      <c r="H32" s="342">
        <v>0.9927076923076923</v>
      </c>
      <c r="I32" s="245">
        <v>-4.740000000000009</v>
      </c>
      <c r="J32" s="271">
        <v>0.9927076923076923</v>
      </c>
      <c r="K32" s="245"/>
      <c r="L32" s="245"/>
      <c r="M32" s="245"/>
      <c r="N32" s="245">
        <v>701.85</v>
      </c>
      <c r="O32" s="245">
        <v>-51.85000000000002</v>
      </c>
      <c r="P32" s="271">
        <v>0.9261238156301204</v>
      </c>
      <c r="Q32" s="173">
        <v>701.85</v>
      </c>
      <c r="R32" s="173">
        <v>-56.59000000000003</v>
      </c>
      <c r="S32" s="211">
        <v>0.9193702358053715</v>
      </c>
      <c r="T32" s="194">
        <v>5</v>
      </c>
      <c r="U32" s="178">
        <v>188.88</v>
      </c>
      <c r="V32" s="166">
        <v>183.88</v>
      </c>
      <c r="W32" s="271">
        <v>37.775999999999996</v>
      </c>
      <c r="X32" s="328">
        <f t="shared" si="2"/>
        <v>-0.00675357982474889</v>
      </c>
      <c r="Y32" s="403">
        <f t="shared" si="1"/>
        <v>-0.00675357982474889</v>
      </c>
    </row>
    <row r="33" spans="1:25" s="6" customFormat="1" ht="15" hidden="1">
      <c r="A33" s="8"/>
      <c r="B33" s="50" t="s">
        <v>161</v>
      </c>
      <c r="C33" s="123">
        <v>18011000</v>
      </c>
      <c r="D33" s="103">
        <v>350</v>
      </c>
      <c r="E33" s="354">
        <v>350</v>
      </c>
      <c r="F33" s="140">
        <v>241.36</v>
      </c>
      <c r="G33" s="103">
        <v>-108.63999999999999</v>
      </c>
      <c r="H33" s="340">
        <v>0.6896</v>
      </c>
      <c r="I33" s="104">
        <v>-108.63999999999999</v>
      </c>
      <c r="J33" s="109">
        <v>0.6896</v>
      </c>
      <c r="K33" s="104"/>
      <c r="L33" s="104"/>
      <c r="M33" s="104"/>
      <c r="N33" s="104">
        <v>350.41</v>
      </c>
      <c r="O33" s="104">
        <v>-0.410000000000025</v>
      </c>
      <c r="P33" s="109">
        <v>0.9988299420678632</v>
      </c>
      <c r="Q33" s="104">
        <v>350.41</v>
      </c>
      <c r="R33" s="104">
        <v>-109.05000000000001</v>
      </c>
      <c r="S33" s="109">
        <v>0.6887931280499986</v>
      </c>
      <c r="T33" s="105">
        <v>0</v>
      </c>
      <c r="U33" s="144">
        <v>174.83</v>
      </c>
      <c r="V33" s="106">
        <v>174.83</v>
      </c>
      <c r="W33" s="109" t="e">
        <v>#DIV/0!</v>
      </c>
      <c r="X33" s="328"/>
      <c r="Y33" s="403">
        <f t="shared" si="1"/>
        <v>-0.31003681401786465</v>
      </c>
    </row>
    <row r="34" spans="1:25" s="6" customFormat="1" ht="15" hidden="1">
      <c r="A34" s="8"/>
      <c r="B34" s="50" t="s">
        <v>162</v>
      </c>
      <c r="C34" s="123">
        <v>18011100</v>
      </c>
      <c r="D34" s="103">
        <v>300</v>
      </c>
      <c r="E34" s="354">
        <v>300</v>
      </c>
      <c r="F34" s="140">
        <v>403.91</v>
      </c>
      <c r="G34" s="103">
        <v>103.91000000000003</v>
      </c>
      <c r="H34" s="340">
        <v>1.3463666666666667</v>
      </c>
      <c r="I34" s="104">
        <v>103.91000000000003</v>
      </c>
      <c r="J34" s="109">
        <v>1.3463666666666667</v>
      </c>
      <c r="K34" s="104"/>
      <c r="L34" s="104"/>
      <c r="M34" s="104"/>
      <c r="N34" s="104">
        <v>351.44</v>
      </c>
      <c r="O34" s="104">
        <v>-51.44</v>
      </c>
      <c r="P34" s="109">
        <v>0.8536307762349192</v>
      </c>
      <c r="Q34" s="104">
        <v>351.44</v>
      </c>
      <c r="R34" s="104">
        <v>52.47000000000003</v>
      </c>
      <c r="S34" s="109">
        <v>1.1493000227634875</v>
      </c>
      <c r="T34" s="105">
        <v>5</v>
      </c>
      <c r="U34" s="144">
        <v>14.060000000000002</v>
      </c>
      <c r="V34" s="106"/>
      <c r="W34" s="109">
        <v>2.8120000000000003</v>
      </c>
      <c r="X34" s="328"/>
      <c r="Y34" s="403">
        <f t="shared" si="1"/>
        <v>0.2956692465285683</v>
      </c>
    </row>
    <row r="35" spans="1:25" s="6" customFormat="1" ht="18">
      <c r="A35" s="8"/>
      <c r="B35" s="50" t="s">
        <v>76</v>
      </c>
      <c r="C35" s="123"/>
      <c r="D35" s="170">
        <v>183292</v>
      </c>
      <c r="E35" s="333">
        <v>183292</v>
      </c>
      <c r="F35" s="171">
        <v>181171.61</v>
      </c>
      <c r="G35" s="150">
        <v>-2120.390000000014</v>
      </c>
      <c r="H35" s="342">
        <v>0.9884316282216353</v>
      </c>
      <c r="I35" s="245">
        <v>-2120.390000000014</v>
      </c>
      <c r="J35" s="271">
        <v>0.9884316282216353</v>
      </c>
      <c r="K35" s="245"/>
      <c r="L35" s="245"/>
      <c r="M35" s="245"/>
      <c r="N35" s="245">
        <v>160111.04</v>
      </c>
      <c r="O35" s="245">
        <v>23180.959999999992</v>
      </c>
      <c r="P35" s="271">
        <v>1.1447805223175116</v>
      </c>
      <c r="Q35" s="174">
        <v>160111.04</v>
      </c>
      <c r="R35" s="174">
        <v>21060.569999999978</v>
      </c>
      <c r="S35" s="210">
        <v>1.131537275630712</v>
      </c>
      <c r="T35" s="194">
        <v>14640</v>
      </c>
      <c r="U35" s="178">
        <v>14882.409999999974</v>
      </c>
      <c r="V35" s="166">
        <v>242.4099999999744</v>
      </c>
      <c r="W35" s="271">
        <v>1.0165580601092878</v>
      </c>
      <c r="X35" s="328">
        <f t="shared" si="2"/>
        <v>-0.013243246686799548</v>
      </c>
      <c r="Y35" s="403">
        <f t="shared" si="1"/>
        <v>-0.013243246686799548</v>
      </c>
    </row>
    <row r="36" spans="1:25" s="6" customFormat="1" ht="18" customHeight="1" hidden="1">
      <c r="A36" s="8"/>
      <c r="B36" s="195" t="s">
        <v>111</v>
      </c>
      <c r="C36" s="196"/>
      <c r="D36" s="198">
        <v>58533</v>
      </c>
      <c r="E36" s="198">
        <v>58533</v>
      </c>
      <c r="F36" s="198">
        <v>58608.68</v>
      </c>
      <c r="G36" s="222">
        <v>75.68000000000029</v>
      </c>
      <c r="H36" s="343">
        <v>1.0012929458596005</v>
      </c>
      <c r="I36" s="267">
        <v>75.68000000000029</v>
      </c>
      <c r="J36" s="306">
        <v>1.0012929458596005</v>
      </c>
      <c r="K36" s="267"/>
      <c r="L36" s="267"/>
      <c r="M36" s="267"/>
      <c r="N36" s="267">
        <v>49911.97</v>
      </c>
      <c r="O36" s="267">
        <v>8621.029999999999</v>
      </c>
      <c r="P36" s="306">
        <v>1.1727246991052447</v>
      </c>
      <c r="Q36" s="199">
        <v>49911.97</v>
      </c>
      <c r="R36" s="199">
        <v>8696.71</v>
      </c>
      <c r="S36" s="227">
        <v>1.1742409686494042</v>
      </c>
      <c r="T36" s="234">
        <v>4800</v>
      </c>
      <c r="U36" s="234">
        <v>4606.639999999999</v>
      </c>
      <c r="V36" s="267">
        <v>-193.36000000000058</v>
      </c>
      <c r="W36" s="306">
        <v>95.97166666666665</v>
      </c>
      <c r="X36" s="327">
        <f t="shared" si="2"/>
        <v>0.0015162695441595098</v>
      </c>
      <c r="Y36" s="403">
        <f t="shared" si="1"/>
        <v>0.0015162695441595098</v>
      </c>
    </row>
    <row r="37" spans="1:25" s="6" customFormat="1" ht="18" customHeight="1" hidden="1">
      <c r="A37" s="8"/>
      <c r="B37" s="195" t="s">
        <v>112</v>
      </c>
      <c r="C37" s="196"/>
      <c r="D37" s="198">
        <v>124759</v>
      </c>
      <c r="E37" s="198">
        <v>124759</v>
      </c>
      <c r="F37" s="198">
        <v>122562.93000000001</v>
      </c>
      <c r="G37" s="222">
        <v>-2196.0699999999924</v>
      </c>
      <c r="H37" s="343">
        <v>0.9823975023845976</v>
      </c>
      <c r="I37" s="267">
        <v>-2196.0699999999924</v>
      </c>
      <c r="J37" s="306">
        <v>0.9823975023845976</v>
      </c>
      <c r="K37" s="267"/>
      <c r="L37" s="267"/>
      <c r="M37" s="267"/>
      <c r="N37" s="267">
        <v>110199.06</v>
      </c>
      <c r="O37" s="267">
        <v>14559.940000000002</v>
      </c>
      <c r="P37" s="306">
        <v>1.1321239945240913</v>
      </c>
      <c r="Q37" s="199">
        <v>110199.06</v>
      </c>
      <c r="R37" s="199">
        <v>12363.87000000001</v>
      </c>
      <c r="S37" s="227">
        <v>1.1121957846101411</v>
      </c>
      <c r="T37" s="234">
        <v>9840</v>
      </c>
      <c r="U37" s="234">
        <v>10275.779999999999</v>
      </c>
      <c r="V37" s="267">
        <v>435.77999999999884</v>
      </c>
      <c r="W37" s="306">
        <v>104.42865853658536</v>
      </c>
      <c r="X37" s="327">
        <f t="shared" si="2"/>
        <v>-0.019928209913950168</v>
      </c>
      <c r="Y37" s="403">
        <f t="shared" si="1"/>
        <v>-0.019928209913950168</v>
      </c>
    </row>
    <row r="38" spans="1:25" s="6" customFormat="1" ht="18" customHeight="1" hidden="1">
      <c r="A38" s="8"/>
      <c r="B38" s="338" t="s">
        <v>163</v>
      </c>
      <c r="C38" s="196">
        <v>18010500</v>
      </c>
      <c r="D38" s="349">
        <v>54968</v>
      </c>
      <c r="E38" s="349">
        <v>54968</v>
      </c>
      <c r="F38" s="337">
        <v>55246.24</v>
      </c>
      <c r="G38" s="349">
        <v>278.23999999999796</v>
      </c>
      <c r="H38" s="351">
        <v>1.0050618541696987</v>
      </c>
      <c r="I38" s="352">
        <v>278.23999999999796</v>
      </c>
      <c r="J38" s="353">
        <v>1.0050618541696987</v>
      </c>
      <c r="K38" s="267"/>
      <c r="L38" s="267"/>
      <c r="M38" s="267"/>
      <c r="N38" s="352">
        <v>46607.08</v>
      </c>
      <c r="O38" s="352">
        <v>8360.919999999998</v>
      </c>
      <c r="P38" s="353">
        <v>1.1793916289113155</v>
      </c>
      <c r="Q38" s="352">
        <v>46607.08</v>
      </c>
      <c r="R38" s="352">
        <v>8639.159999999996</v>
      </c>
      <c r="S38" s="353">
        <v>1.1853615373458282</v>
      </c>
      <c r="T38" s="337">
        <v>4600</v>
      </c>
      <c r="U38" s="337">
        <v>4476.8299999999945</v>
      </c>
      <c r="V38" s="352">
        <v>-123.17000000000553</v>
      </c>
      <c r="W38" s="353">
        <v>97.3223913043477</v>
      </c>
      <c r="X38" s="327"/>
      <c r="Y38" s="403">
        <f t="shared" si="1"/>
        <v>0.005969908434512616</v>
      </c>
    </row>
    <row r="39" spans="1:25" s="6" customFormat="1" ht="18" customHeight="1" hidden="1">
      <c r="A39" s="8"/>
      <c r="B39" s="338" t="s">
        <v>164</v>
      </c>
      <c r="C39" s="196">
        <v>18010600</v>
      </c>
      <c r="D39" s="349">
        <v>103924</v>
      </c>
      <c r="E39" s="349">
        <v>103924</v>
      </c>
      <c r="F39" s="337">
        <v>102196.35</v>
      </c>
      <c r="G39" s="349">
        <v>-1727.6499999999942</v>
      </c>
      <c r="H39" s="351">
        <v>0.983375832339017</v>
      </c>
      <c r="I39" s="352">
        <v>-1727.6499999999942</v>
      </c>
      <c r="J39" s="353">
        <v>0.983375832339017</v>
      </c>
      <c r="K39" s="267"/>
      <c r="L39" s="267"/>
      <c r="M39" s="267"/>
      <c r="N39" s="352">
        <v>91357.39</v>
      </c>
      <c r="O39" s="352">
        <v>12566.61</v>
      </c>
      <c r="P39" s="353">
        <v>1.1375543894150215</v>
      </c>
      <c r="Q39" s="352">
        <v>91357.39</v>
      </c>
      <c r="R39" s="352">
        <v>10838.960000000006</v>
      </c>
      <c r="S39" s="353">
        <v>1.1186434945218993</v>
      </c>
      <c r="T39" s="337">
        <v>8885</v>
      </c>
      <c r="U39" s="337">
        <v>8513.14</v>
      </c>
      <c r="V39" s="352">
        <v>-371.8600000000006</v>
      </c>
      <c r="W39" s="353">
        <v>95.81474395047833</v>
      </c>
      <c r="X39" s="327"/>
      <c r="Y39" s="403">
        <f t="shared" si="1"/>
        <v>-0.018910894893122254</v>
      </c>
    </row>
    <row r="40" spans="1:25" s="6" customFormat="1" ht="18" customHeight="1" hidden="1">
      <c r="A40" s="8"/>
      <c r="B40" s="338" t="s">
        <v>165</v>
      </c>
      <c r="C40" s="196">
        <v>18010700</v>
      </c>
      <c r="D40" s="349">
        <v>3565</v>
      </c>
      <c r="E40" s="349">
        <v>3565</v>
      </c>
      <c r="F40" s="337">
        <v>3362.44</v>
      </c>
      <c r="G40" s="349">
        <v>-202.55999999999995</v>
      </c>
      <c r="H40" s="351">
        <v>0.9431809256661992</v>
      </c>
      <c r="I40" s="352">
        <v>-202.55999999999995</v>
      </c>
      <c r="J40" s="353">
        <v>0.9431809256661992</v>
      </c>
      <c r="K40" s="267"/>
      <c r="L40" s="267"/>
      <c r="M40" s="267"/>
      <c r="N40" s="352">
        <v>3304.89</v>
      </c>
      <c r="O40" s="352">
        <v>260.1100000000001</v>
      </c>
      <c r="P40" s="353">
        <v>1.0787045862343376</v>
      </c>
      <c r="Q40" s="352">
        <v>3304.89</v>
      </c>
      <c r="R40" s="352">
        <v>57.55000000000018</v>
      </c>
      <c r="S40" s="353">
        <v>1.0174135901648769</v>
      </c>
      <c r="T40" s="337">
        <v>200</v>
      </c>
      <c r="U40" s="337">
        <v>129.80999999999995</v>
      </c>
      <c r="V40" s="352">
        <v>-70.19000000000005</v>
      </c>
      <c r="W40" s="353">
        <v>64.90499999999997</v>
      </c>
      <c r="X40" s="327"/>
      <c r="Y40" s="403">
        <f t="shared" si="1"/>
        <v>-0.06129099606946076</v>
      </c>
    </row>
    <row r="41" spans="1:25" s="6" customFormat="1" ht="18" customHeight="1" hidden="1">
      <c r="A41" s="8"/>
      <c r="B41" s="338" t="s">
        <v>166</v>
      </c>
      <c r="C41" s="196">
        <v>18010900</v>
      </c>
      <c r="D41" s="349">
        <v>20835</v>
      </c>
      <c r="E41" s="349">
        <v>20835</v>
      </c>
      <c r="F41" s="337">
        <v>20366.58</v>
      </c>
      <c r="G41" s="349">
        <v>-468.41999999999825</v>
      </c>
      <c r="H41" s="351">
        <v>0.9775176385889129</v>
      </c>
      <c r="I41" s="352">
        <v>-468.41999999999825</v>
      </c>
      <c r="J41" s="353">
        <v>0.9775176385889129</v>
      </c>
      <c r="K41" s="267"/>
      <c r="L41" s="267"/>
      <c r="M41" s="267"/>
      <c r="N41" s="352">
        <v>18841.68</v>
      </c>
      <c r="O41" s="352">
        <v>1993.3199999999997</v>
      </c>
      <c r="P41" s="353">
        <v>1.1057931139898354</v>
      </c>
      <c r="Q41" s="352">
        <v>18841.68</v>
      </c>
      <c r="R41" s="352">
        <v>1524.9000000000015</v>
      </c>
      <c r="S41" s="353">
        <v>1.0809322735552245</v>
      </c>
      <c r="T41" s="337">
        <v>955</v>
      </c>
      <c r="U41" s="337">
        <v>1762.640000000003</v>
      </c>
      <c r="V41" s="352">
        <v>807.640000000003</v>
      </c>
      <c r="W41" s="353">
        <v>184.56963350785372</v>
      </c>
      <c r="X41" s="327"/>
      <c r="Y41" s="403">
        <f t="shared" si="1"/>
        <v>-0.024860840434610898</v>
      </c>
    </row>
    <row r="42" spans="1:25" s="6" customFormat="1" ht="18">
      <c r="A42" s="8"/>
      <c r="B42" s="224" t="s">
        <v>115</v>
      </c>
      <c r="C42" s="221">
        <v>18020000</v>
      </c>
      <c r="D42" s="162">
        <v>0</v>
      </c>
      <c r="E42" s="162">
        <v>0</v>
      </c>
      <c r="F42" s="198">
        <v>0.2</v>
      </c>
      <c r="G42" s="150">
        <v>0.2</v>
      </c>
      <c r="H42" s="339"/>
      <c r="I42" s="158">
        <v>0.2</v>
      </c>
      <c r="J42" s="158"/>
      <c r="K42" s="158"/>
      <c r="L42" s="158"/>
      <c r="M42" s="158"/>
      <c r="N42" s="158">
        <v>0.15</v>
      </c>
      <c r="O42" s="158">
        <v>-0.15</v>
      </c>
      <c r="P42" s="209">
        <v>0</v>
      </c>
      <c r="Q42" s="167">
        <v>0.15</v>
      </c>
      <c r="R42" s="158">
        <v>0.05000000000000002</v>
      </c>
      <c r="S42" s="209"/>
      <c r="T42" s="157">
        <v>0</v>
      </c>
      <c r="U42" s="160">
        <v>0</v>
      </c>
      <c r="V42" s="161">
        <v>0</v>
      </c>
      <c r="W42" s="209"/>
      <c r="X42" s="327">
        <f t="shared" si="2"/>
        <v>0</v>
      </c>
      <c r="Y42" s="403">
        <f t="shared" si="1"/>
        <v>0</v>
      </c>
    </row>
    <row r="43" spans="1:25" s="6" customFormat="1" ht="18">
      <c r="A43" s="8"/>
      <c r="B43" s="44" t="s">
        <v>82</v>
      </c>
      <c r="C43" s="114">
        <v>18030000</v>
      </c>
      <c r="D43" s="150">
        <v>115</v>
      </c>
      <c r="E43" s="162">
        <v>115</v>
      </c>
      <c r="F43" s="156">
        <v>156.82</v>
      </c>
      <c r="G43" s="150">
        <v>41.81999999999999</v>
      </c>
      <c r="H43" s="339">
        <v>1.3636521739130434</v>
      </c>
      <c r="I43" s="158">
        <v>41.81999999999999</v>
      </c>
      <c r="J43" s="209">
        <v>1.3636521739130434</v>
      </c>
      <c r="K43" s="158"/>
      <c r="L43" s="158"/>
      <c r="M43" s="158"/>
      <c r="N43" s="158">
        <v>117.68</v>
      </c>
      <c r="O43" s="158">
        <v>-2.680000000000007</v>
      </c>
      <c r="P43" s="209">
        <v>0.9772263766145479</v>
      </c>
      <c r="Q43" s="167">
        <v>117.68</v>
      </c>
      <c r="R43" s="158">
        <v>39.139999999999986</v>
      </c>
      <c r="S43" s="209">
        <v>1.3325968728755948</v>
      </c>
      <c r="T43" s="157">
        <v>7.5</v>
      </c>
      <c r="U43" s="160">
        <v>0.01999999999998181</v>
      </c>
      <c r="V43" s="161">
        <v>-7.480000000000018</v>
      </c>
      <c r="W43" s="209">
        <v>0.0026666666666642414</v>
      </c>
      <c r="X43" s="327">
        <f t="shared" si="2"/>
        <v>0.3553704962610469</v>
      </c>
      <c r="Y43" s="403">
        <f t="shared" si="1"/>
        <v>0.3553704962610469</v>
      </c>
    </row>
    <row r="44" spans="1:25" s="6" customFormat="1" ht="15" hidden="1">
      <c r="A44" s="8"/>
      <c r="B44" s="50" t="s">
        <v>167</v>
      </c>
      <c r="C44" s="102">
        <v>18031000</v>
      </c>
      <c r="D44" s="103">
        <v>52</v>
      </c>
      <c r="E44" s="103">
        <v>52</v>
      </c>
      <c r="F44" s="140">
        <v>95.14</v>
      </c>
      <c r="G44" s="103">
        <v>43.14</v>
      </c>
      <c r="H44" s="340">
        <v>1.8296153846153846</v>
      </c>
      <c r="I44" s="104">
        <v>43.14</v>
      </c>
      <c r="J44" s="109">
        <v>1.8296153846153846</v>
      </c>
      <c r="K44" s="104"/>
      <c r="L44" s="104"/>
      <c r="M44" s="104"/>
      <c r="N44" s="104">
        <v>53.55</v>
      </c>
      <c r="O44" s="104">
        <v>-1.5499999999999972</v>
      </c>
      <c r="P44" s="109">
        <v>0.9710550887021476</v>
      </c>
      <c r="Q44" s="104">
        <v>53.55</v>
      </c>
      <c r="R44" s="104">
        <v>41.59</v>
      </c>
      <c r="S44" s="109">
        <v>1.7766573295985062</v>
      </c>
      <c r="T44" s="105">
        <v>3.5</v>
      </c>
      <c r="U44" s="144">
        <v>0</v>
      </c>
      <c r="V44" s="106">
        <v>-3.5</v>
      </c>
      <c r="W44" s="109">
        <v>0</v>
      </c>
      <c r="X44" s="327"/>
      <c r="Y44" s="403">
        <f t="shared" si="1"/>
        <v>0.8056022408963586</v>
      </c>
    </row>
    <row r="45" spans="1:25" s="6" customFormat="1" ht="15" hidden="1">
      <c r="A45" s="8"/>
      <c r="B45" s="50" t="s">
        <v>168</v>
      </c>
      <c r="C45" s="102">
        <v>18031100</v>
      </c>
      <c r="D45" s="103">
        <v>63</v>
      </c>
      <c r="E45" s="103">
        <v>63</v>
      </c>
      <c r="F45" s="140">
        <v>61.68</v>
      </c>
      <c r="G45" s="103">
        <v>-1.3200000000000003</v>
      </c>
      <c r="H45" s="340">
        <v>0.979047619047619</v>
      </c>
      <c r="I45" s="104">
        <v>-1.3200000000000003</v>
      </c>
      <c r="J45" s="109">
        <v>0.979047619047619</v>
      </c>
      <c r="K45" s="104"/>
      <c r="L45" s="104"/>
      <c r="M45" s="104"/>
      <c r="N45" s="104">
        <v>64.14</v>
      </c>
      <c r="O45" s="104">
        <v>-1.1400000000000006</v>
      </c>
      <c r="P45" s="109">
        <v>0.9822263797942001</v>
      </c>
      <c r="Q45" s="104">
        <v>64.14</v>
      </c>
      <c r="R45" s="104">
        <v>-2.460000000000001</v>
      </c>
      <c r="S45" s="109">
        <v>0.961646398503274</v>
      </c>
      <c r="T45" s="105">
        <v>4</v>
      </c>
      <c r="U45" s="144">
        <v>0.020000000000003126</v>
      </c>
      <c r="V45" s="106">
        <v>-3.979999999999997</v>
      </c>
      <c r="W45" s="109">
        <v>0.005000000000000782</v>
      </c>
      <c r="X45" s="327"/>
      <c r="Y45" s="403">
        <f t="shared" si="1"/>
        <v>-0.020579981290926086</v>
      </c>
    </row>
    <row r="46" spans="1:25" s="6" customFormat="1" ht="30.75">
      <c r="A46" s="8"/>
      <c r="B46" s="224" t="s">
        <v>83</v>
      </c>
      <c r="C46" s="114">
        <v>18040000</v>
      </c>
      <c r="D46" s="150"/>
      <c r="E46" s="150"/>
      <c r="F46" s="156">
        <v>-50.78</v>
      </c>
      <c r="G46" s="150">
        <v>-50.78</v>
      </c>
      <c r="H46" s="339"/>
      <c r="I46" s="158">
        <v>-50.78</v>
      </c>
      <c r="J46" s="209"/>
      <c r="K46" s="158"/>
      <c r="L46" s="158"/>
      <c r="M46" s="158"/>
      <c r="N46" s="158">
        <v>-177.97</v>
      </c>
      <c r="O46" s="158">
        <v>177.97</v>
      </c>
      <c r="P46" s="209">
        <v>0</v>
      </c>
      <c r="Q46" s="158">
        <v>-177.97</v>
      </c>
      <c r="R46" s="158">
        <v>127.19</v>
      </c>
      <c r="S46" s="209">
        <v>0.28532898803169077</v>
      </c>
      <c r="T46" s="157">
        <v>0</v>
      </c>
      <c r="U46" s="160">
        <v>-7.899999999999999</v>
      </c>
      <c r="V46" s="161">
        <v>-7.899999999999999</v>
      </c>
      <c r="W46" s="209"/>
      <c r="X46" s="327">
        <f t="shared" si="2"/>
        <v>0.28532898803169077</v>
      </c>
      <c r="Y46" s="403">
        <f t="shared" si="1"/>
        <v>0.28532898803169077</v>
      </c>
    </row>
    <row r="47" spans="1:25" s="6" customFormat="1" ht="18">
      <c r="A47" s="8"/>
      <c r="B47" s="44" t="s">
        <v>84</v>
      </c>
      <c r="C47" s="114">
        <v>18050000</v>
      </c>
      <c r="D47" s="162">
        <v>220903.1</v>
      </c>
      <c r="E47" s="162">
        <v>220903.1</v>
      </c>
      <c r="F47" s="163">
        <v>223368.23</v>
      </c>
      <c r="G47" s="150">
        <v>2465.1300000000047</v>
      </c>
      <c r="H47" s="339">
        <v>101.11593273249674</v>
      </c>
      <c r="I47" s="158">
        <v>2465.1300000000047</v>
      </c>
      <c r="J47" s="209">
        <v>1.0111593273249675</v>
      </c>
      <c r="K47" s="158"/>
      <c r="L47" s="158"/>
      <c r="M47" s="158"/>
      <c r="N47" s="158">
        <v>158268.6</v>
      </c>
      <c r="O47" s="158">
        <v>62634.5</v>
      </c>
      <c r="P47" s="209">
        <v>1.3957481142816706</v>
      </c>
      <c r="Q47" s="177">
        <v>158268.6</v>
      </c>
      <c r="R47" s="177">
        <v>65099.630000000005</v>
      </c>
      <c r="S47" s="225">
        <v>1.4113237243521457</v>
      </c>
      <c r="T47" s="157">
        <v>33148.100000000006</v>
      </c>
      <c r="U47" s="160">
        <v>10567.48000000001</v>
      </c>
      <c r="V47" s="161">
        <v>-22580.619999999995</v>
      </c>
      <c r="W47" s="209">
        <v>0.3187959490890883</v>
      </c>
      <c r="X47" s="327">
        <f t="shared" si="2"/>
        <v>0.015575610070475143</v>
      </c>
      <c r="Y47" s="403">
        <f t="shared" si="1"/>
        <v>0.015575610070475143</v>
      </c>
    </row>
    <row r="48" spans="1:25" s="6" customFormat="1" ht="15" customHeight="1" hidden="1">
      <c r="A48" s="8"/>
      <c r="B48" s="50" t="s">
        <v>90</v>
      </c>
      <c r="C48" s="102">
        <v>18050200</v>
      </c>
      <c r="D48" s="103">
        <v>0</v>
      </c>
      <c r="E48" s="103">
        <v>0</v>
      </c>
      <c r="F48" s="140">
        <v>0.01</v>
      </c>
      <c r="G48" s="103">
        <v>0.01</v>
      </c>
      <c r="H48" s="340"/>
      <c r="I48" s="104">
        <v>0.01</v>
      </c>
      <c r="J48" s="109"/>
      <c r="K48" s="104"/>
      <c r="L48" s="104"/>
      <c r="M48" s="104"/>
      <c r="N48" s="104">
        <v>0.23</v>
      </c>
      <c r="O48" s="104">
        <v>-0.23</v>
      </c>
      <c r="P48" s="109">
        <v>0</v>
      </c>
      <c r="Q48" s="127">
        <v>0.23</v>
      </c>
      <c r="R48" s="127">
        <v>-0.22</v>
      </c>
      <c r="S48" s="215">
        <v>0.043478260869565216</v>
      </c>
      <c r="T48" s="105">
        <v>0</v>
      </c>
      <c r="U48" s="144">
        <v>0</v>
      </c>
      <c r="V48" s="106">
        <v>0</v>
      </c>
      <c r="W48" s="109"/>
      <c r="X48" s="327">
        <f t="shared" si="2"/>
        <v>0.043478260869565216</v>
      </c>
      <c r="Y48" s="403">
        <f t="shared" si="1"/>
        <v>0.043478260869565216</v>
      </c>
    </row>
    <row r="49" spans="1:25" s="6" customFormat="1" ht="15" customHeight="1" hidden="1">
      <c r="A49" s="8"/>
      <c r="B49" s="50" t="s">
        <v>91</v>
      </c>
      <c r="C49" s="102">
        <v>18050300</v>
      </c>
      <c r="D49" s="103">
        <v>44300</v>
      </c>
      <c r="E49" s="103">
        <v>44300</v>
      </c>
      <c r="F49" s="140">
        <v>45030.34</v>
      </c>
      <c r="G49" s="103">
        <v>730.3399999999965</v>
      </c>
      <c r="H49" s="340">
        <v>1.0164862302483069</v>
      </c>
      <c r="I49" s="104">
        <v>730.3399999999965</v>
      </c>
      <c r="J49" s="109">
        <v>1.0164862302483069</v>
      </c>
      <c r="K49" s="104"/>
      <c r="L49" s="104"/>
      <c r="M49" s="104"/>
      <c r="N49" s="104">
        <v>39173.72</v>
      </c>
      <c r="O49" s="104">
        <v>5126.279999999999</v>
      </c>
      <c r="P49" s="109">
        <v>1.1308601787116463</v>
      </c>
      <c r="Q49" s="127">
        <v>39173.72</v>
      </c>
      <c r="R49" s="127">
        <v>5856.619999999995</v>
      </c>
      <c r="S49" s="215">
        <v>1.149503799996528</v>
      </c>
      <c r="T49" s="105">
        <v>4800</v>
      </c>
      <c r="U49" s="144">
        <v>1716.229999999996</v>
      </c>
      <c r="V49" s="106">
        <v>-3083.770000000004</v>
      </c>
      <c r="W49" s="109">
        <v>0.3575479166666658</v>
      </c>
      <c r="X49" s="327">
        <f t="shared" si="2"/>
        <v>0.01864362128488173</v>
      </c>
      <c r="Y49" s="403">
        <f t="shared" si="1"/>
        <v>0.01864362128488173</v>
      </c>
    </row>
    <row r="50" spans="1:25" s="6" customFormat="1" ht="15" customHeight="1" hidden="1">
      <c r="A50" s="8"/>
      <c r="B50" s="50" t="s">
        <v>92</v>
      </c>
      <c r="C50" s="102">
        <v>18050400</v>
      </c>
      <c r="D50" s="103">
        <v>176548.1</v>
      </c>
      <c r="E50" s="103">
        <v>176548.1</v>
      </c>
      <c r="F50" s="140">
        <v>178270.24</v>
      </c>
      <c r="G50" s="103">
        <v>1722.1399999999849</v>
      </c>
      <c r="H50" s="340">
        <v>1.0097545088279056</v>
      </c>
      <c r="I50" s="104">
        <v>1722.1399999999849</v>
      </c>
      <c r="J50" s="109">
        <v>1.0097545088279056</v>
      </c>
      <c r="K50" s="104"/>
      <c r="L50" s="104"/>
      <c r="M50" s="104"/>
      <c r="N50" s="104">
        <v>119039.46</v>
      </c>
      <c r="O50" s="104">
        <v>57508.64</v>
      </c>
      <c r="P50" s="109">
        <v>1.4831056861313046</v>
      </c>
      <c r="Q50" s="127">
        <v>119039.46</v>
      </c>
      <c r="R50" s="127">
        <v>59230.779999999984</v>
      </c>
      <c r="S50" s="215">
        <v>1.4975726536393896</v>
      </c>
      <c r="T50" s="105">
        <v>28348.100000000006</v>
      </c>
      <c r="U50" s="144">
        <v>8848.589999999997</v>
      </c>
      <c r="V50" s="106">
        <v>-19499.51000000001</v>
      </c>
      <c r="W50" s="109">
        <v>0.3121404961884569</v>
      </c>
      <c r="X50" s="327">
        <f t="shared" si="2"/>
        <v>0.014466967508085071</v>
      </c>
      <c r="Y50" s="403">
        <f t="shared" si="1"/>
        <v>0.014466967508085071</v>
      </c>
    </row>
    <row r="51" spans="1:25" s="6" customFormat="1" ht="15" customHeight="1" hidden="1">
      <c r="A51" s="8"/>
      <c r="B51" s="50" t="s">
        <v>93</v>
      </c>
      <c r="C51" s="102">
        <v>18050500</v>
      </c>
      <c r="D51" s="103">
        <v>55</v>
      </c>
      <c r="E51" s="103">
        <v>55</v>
      </c>
      <c r="F51" s="140">
        <v>67.63</v>
      </c>
      <c r="G51" s="103">
        <v>12.629999999999995</v>
      </c>
      <c r="H51" s="340">
        <v>1.2296363636363636</v>
      </c>
      <c r="I51" s="104">
        <v>12.629999999999995</v>
      </c>
      <c r="J51" s="109">
        <v>1.2296363636363636</v>
      </c>
      <c r="K51" s="104"/>
      <c r="L51" s="104"/>
      <c r="M51" s="104"/>
      <c r="N51" s="104">
        <v>55.18</v>
      </c>
      <c r="O51" s="104">
        <v>-0.17999999999999972</v>
      </c>
      <c r="P51" s="109">
        <v>0.9967379485320769</v>
      </c>
      <c r="Q51" s="127">
        <v>55.18</v>
      </c>
      <c r="R51" s="127">
        <v>12.449999999999996</v>
      </c>
      <c r="S51" s="215">
        <v>1.2256252265313519</v>
      </c>
      <c r="T51" s="105">
        <v>0</v>
      </c>
      <c r="U51" s="144">
        <v>2.6599999999999966</v>
      </c>
      <c r="V51" s="106">
        <v>2.6599999999999966</v>
      </c>
      <c r="W51" s="109"/>
      <c r="X51" s="327">
        <f t="shared" si="2"/>
        <v>0.228887277999275</v>
      </c>
      <c r="Y51" s="403">
        <f t="shared" si="1"/>
        <v>0.228887277999275</v>
      </c>
    </row>
    <row r="52" spans="1:25" s="6" customFormat="1" ht="15" customHeight="1" hidden="1">
      <c r="A52" s="8"/>
      <c r="B52" s="231"/>
      <c r="C52" s="43"/>
      <c r="D52" s="34">
        <v>0</v>
      </c>
      <c r="E52" s="34">
        <v>0</v>
      </c>
      <c r="F52" s="264">
        <v>0</v>
      </c>
      <c r="G52" s="34">
        <v>0</v>
      </c>
      <c r="H52" s="339"/>
      <c r="I52" s="119"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v>0</v>
      </c>
      <c r="S52" s="216"/>
      <c r="T52" s="137">
        <v>0</v>
      </c>
      <c r="U52" s="145">
        <v>0</v>
      </c>
      <c r="V52" s="161">
        <v>0</v>
      </c>
      <c r="W52" s="94"/>
      <c r="X52" s="327">
        <f t="shared" si="2"/>
        <v>0</v>
      </c>
      <c r="Y52" s="403">
        <f t="shared" si="1"/>
        <v>0</v>
      </c>
    </row>
    <row r="53" spans="1:25" s="6" customFormat="1" ht="17.25">
      <c r="A53" s="7"/>
      <c r="B53" s="16" t="s">
        <v>12</v>
      </c>
      <c r="C53" s="70">
        <v>20000000</v>
      </c>
      <c r="D53" s="151">
        <v>67930</v>
      </c>
      <c r="E53" s="151">
        <v>67930</v>
      </c>
      <c r="F53" s="151">
        <v>69380.98000000001</v>
      </c>
      <c r="G53" s="151">
        <v>1450.9800000000005</v>
      </c>
      <c r="H53" s="204">
        <v>1.0213599293390256</v>
      </c>
      <c r="I53" s="153">
        <v>1450.9800000000105</v>
      </c>
      <c r="J53" s="218">
        <v>1.0213599293390256</v>
      </c>
      <c r="K53" s="153"/>
      <c r="L53" s="153"/>
      <c r="M53" s="153"/>
      <c r="N53" s="153">
        <v>68752.68</v>
      </c>
      <c r="O53" s="153">
        <v>-822.679999999993</v>
      </c>
      <c r="P53" s="218">
        <v>0.9880342119027216</v>
      </c>
      <c r="Q53" s="262">
        <v>68752.68</v>
      </c>
      <c r="R53" s="151">
        <v>628.3000000000175</v>
      </c>
      <c r="S53" s="204">
        <v>1.0091385528535035</v>
      </c>
      <c r="T53" s="151">
        <v>5752.1</v>
      </c>
      <c r="U53" s="151">
        <v>6691.050000000001</v>
      </c>
      <c r="V53" s="151">
        <v>938.9000000000019</v>
      </c>
      <c r="W53" s="204">
        <v>1.1632360355348483</v>
      </c>
      <c r="X53" s="327">
        <f t="shared" si="2"/>
        <v>0.021104340950781952</v>
      </c>
      <c r="Y53" s="404">
        <f t="shared" si="1"/>
        <v>0.021104340950781952</v>
      </c>
    </row>
    <row r="54" spans="1:25" s="6" customFormat="1" ht="46.5">
      <c r="A54" s="8"/>
      <c r="B54" s="224" t="s">
        <v>98</v>
      </c>
      <c r="C54" s="43">
        <v>21010301</v>
      </c>
      <c r="D54" s="150">
        <v>2633</v>
      </c>
      <c r="E54" s="150">
        <v>2633</v>
      </c>
      <c r="F54" s="156">
        <v>2633.96</v>
      </c>
      <c r="G54" s="150">
        <v>0.9600000000000364</v>
      </c>
      <c r="H54" s="344">
        <v>1.0003646031143183</v>
      </c>
      <c r="I54" s="165">
        <v>0.9600000000000364</v>
      </c>
      <c r="J54" s="217">
        <v>1.0003646031143183</v>
      </c>
      <c r="K54" s="165"/>
      <c r="L54" s="165"/>
      <c r="M54" s="165"/>
      <c r="N54" s="165">
        <v>551.04</v>
      </c>
      <c r="O54" s="165">
        <v>2081.96</v>
      </c>
      <c r="P54" s="217">
        <v>4.778237514518002</v>
      </c>
      <c r="Q54" s="165">
        <v>551.04</v>
      </c>
      <c r="R54" s="165">
        <v>2082.92</v>
      </c>
      <c r="S54" s="217">
        <v>4.779979674796748</v>
      </c>
      <c r="T54" s="157">
        <v>2053</v>
      </c>
      <c r="U54" s="160">
        <v>0</v>
      </c>
      <c r="V54" s="161">
        <v>-2053</v>
      </c>
      <c r="W54" s="217">
        <v>0</v>
      </c>
      <c r="X54" s="327">
        <f t="shared" si="2"/>
        <v>0.0017421602787459634</v>
      </c>
      <c r="Y54" s="403">
        <f t="shared" si="1"/>
        <v>0.0017421602787459634</v>
      </c>
    </row>
    <row r="55" spans="1:25" s="6" customFormat="1" ht="30.75">
      <c r="A55" s="8"/>
      <c r="B55" s="129" t="s">
        <v>77</v>
      </c>
      <c r="C55" s="42">
        <v>21050000</v>
      </c>
      <c r="D55" s="150">
        <v>27400</v>
      </c>
      <c r="E55" s="150">
        <v>27400</v>
      </c>
      <c r="F55" s="156">
        <v>27997.6</v>
      </c>
      <c r="G55" s="150">
        <v>597.5999999999985</v>
      </c>
      <c r="H55" s="344">
        <v>1.0218102189781022</v>
      </c>
      <c r="I55" s="165">
        <v>597.5999999999985</v>
      </c>
      <c r="J55" s="217">
        <v>1.0218102189781022</v>
      </c>
      <c r="K55" s="165"/>
      <c r="L55" s="165"/>
      <c r="M55" s="165"/>
      <c r="N55" s="165">
        <v>36136.57</v>
      </c>
      <c r="O55" s="165">
        <v>-8736.57</v>
      </c>
      <c r="P55" s="217">
        <v>0.7582346636661974</v>
      </c>
      <c r="Q55" s="165">
        <v>36136.57</v>
      </c>
      <c r="R55" s="165">
        <v>-8138.970000000001</v>
      </c>
      <c r="S55" s="217">
        <v>0.7747719277175448</v>
      </c>
      <c r="T55" s="157">
        <v>1000</v>
      </c>
      <c r="U55" s="160">
        <v>3307.459999999999</v>
      </c>
      <c r="V55" s="161">
        <v>2307.459999999999</v>
      </c>
      <c r="W55" s="217">
        <v>3.307459999999999</v>
      </c>
      <c r="X55" s="327">
        <f t="shared" si="2"/>
        <v>0.016537264051347367</v>
      </c>
      <c r="Y55" s="403">
        <f t="shared" si="1"/>
        <v>0.016537264051347367</v>
      </c>
    </row>
    <row r="56" spans="1:25" s="6" customFormat="1" ht="18">
      <c r="A56" s="8"/>
      <c r="B56" s="129" t="s">
        <v>61</v>
      </c>
      <c r="C56" s="42">
        <v>21080500</v>
      </c>
      <c r="D56" s="150">
        <v>40</v>
      </c>
      <c r="E56" s="150">
        <v>40</v>
      </c>
      <c r="F56" s="156">
        <v>153.3</v>
      </c>
      <c r="G56" s="150">
        <v>113.30000000000001</v>
      </c>
      <c r="H56" s="344">
        <v>3.8325000000000005</v>
      </c>
      <c r="I56" s="165">
        <v>113.30000000000001</v>
      </c>
      <c r="J56" s="217">
        <v>3.8325000000000005</v>
      </c>
      <c r="K56" s="165"/>
      <c r="L56" s="165"/>
      <c r="M56" s="165"/>
      <c r="N56" s="165">
        <v>31.98</v>
      </c>
      <c r="O56" s="165">
        <v>8.02</v>
      </c>
      <c r="P56" s="217">
        <v>1.2507817385866167</v>
      </c>
      <c r="Q56" s="165">
        <v>31.98</v>
      </c>
      <c r="R56" s="165">
        <v>121.32000000000001</v>
      </c>
      <c r="S56" s="217">
        <v>4.793621013133208</v>
      </c>
      <c r="T56" s="157">
        <v>13</v>
      </c>
      <c r="U56" s="160">
        <v>10</v>
      </c>
      <c r="V56" s="161">
        <v>-3</v>
      </c>
      <c r="W56" s="217">
        <v>0.7692307692307693</v>
      </c>
      <c r="X56" s="327">
        <f t="shared" si="2"/>
        <v>3.5428392745465915</v>
      </c>
      <c r="Y56" s="403">
        <f t="shared" si="1"/>
        <v>3.5428392745465915</v>
      </c>
    </row>
    <row r="57" spans="1:25" s="6" customFormat="1" ht="31.5">
      <c r="A57" s="8"/>
      <c r="B57" s="235" t="s">
        <v>39</v>
      </c>
      <c r="C57" s="71">
        <v>21080900</v>
      </c>
      <c r="D57" s="150">
        <v>13</v>
      </c>
      <c r="E57" s="150">
        <v>13</v>
      </c>
      <c r="F57" s="156">
        <v>12.95</v>
      </c>
      <c r="G57" s="150">
        <v>-0.05000000000000071</v>
      </c>
      <c r="H57" s="344">
        <v>0.9961538461538461</v>
      </c>
      <c r="I57" s="165">
        <v>-0.05000000000000071</v>
      </c>
      <c r="J57" s="217">
        <v>0.9961538461538461</v>
      </c>
      <c r="K57" s="165"/>
      <c r="L57" s="165"/>
      <c r="M57" s="165"/>
      <c r="N57" s="165">
        <v>0.1</v>
      </c>
      <c r="O57" s="165">
        <v>12.9</v>
      </c>
      <c r="P57" s="356">
        <v>130</v>
      </c>
      <c r="Q57" s="165">
        <v>0.1</v>
      </c>
      <c r="R57" s="165">
        <v>12.85</v>
      </c>
      <c r="S57" s="217"/>
      <c r="T57" s="157">
        <v>0</v>
      </c>
      <c r="U57" s="160">
        <v>0</v>
      </c>
      <c r="V57" s="161">
        <v>0</v>
      </c>
      <c r="W57" s="217" t="e">
        <v>#DIV/0!</v>
      </c>
      <c r="X57" s="327">
        <f t="shared" si="2"/>
        <v>-130</v>
      </c>
      <c r="Y57" s="403">
        <f t="shared" si="1"/>
        <v>-130</v>
      </c>
    </row>
    <row r="58" spans="1:25" s="6" customFormat="1" ht="18">
      <c r="A58" s="8"/>
      <c r="B58" s="130" t="s">
        <v>16</v>
      </c>
      <c r="C58" s="72">
        <v>21081100</v>
      </c>
      <c r="D58" s="150">
        <v>660</v>
      </c>
      <c r="E58" s="150">
        <v>660</v>
      </c>
      <c r="F58" s="156">
        <v>705.31</v>
      </c>
      <c r="G58" s="150">
        <v>45.309999999999945</v>
      </c>
      <c r="H58" s="344">
        <v>1.068651515151515</v>
      </c>
      <c r="I58" s="165">
        <v>45.309999999999945</v>
      </c>
      <c r="J58" s="217">
        <v>1.068651515151515</v>
      </c>
      <c r="K58" s="165"/>
      <c r="L58" s="165"/>
      <c r="M58" s="165"/>
      <c r="N58" s="165">
        <v>241.07</v>
      </c>
      <c r="O58" s="165">
        <v>418.93</v>
      </c>
      <c r="P58" s="217">
        <v>2.7377940017422326</v>
      </c>
      <c r="Q58" s="165">
        <v>241.07</v>
      </c>
      <c r="R58" s="165">
        <v>464.23999999999995</v>
      </c>
      <c r="S58" s="217">
        <v>2.9257477081345664</v>
      </c>
      <c r="T58" s="157">
        <v>22</v>
      </c>
      <c r="U58" s="160">
        <v>34.70999999999992</v>
      </c>
      <c r="V58" s="161">
        <v>12.709999999999923</v>
      </c>
      <c r="W58" s="217">
        <v>1.5777272727272693</v>
      </c>
      <c r="X58" s="327">
        <f t="shared" si="2"/>
        <v>0.18795370639233377</v>
      </c>
      <c r="Y58" s="403">
        <f t="shared" si="1"/>
        <v>0.18795370639233377</v>
      </c>
    </row>
    <row r="59" spans="1:25" s="6" customFormat="1" ht="46.5">
      <c r="A59" s="8"/>
      <c r="B59" s="313" t="s">
        <v>80</v>
      </c>
      <c r="C59" s="72">
        <v>21081500</v>
      </c>
      <c r="D59" s="150">
        <v>97.5</v>
      </c>
      <c r="E59" s="150">
        <v>97.5</v>
      </c>
      <c r="F59" s="156">
        <v>114.3</v>
      </c>
      <c r="G59" s="150">
        <v>16.799999999999997</v>
      </c>
      <c r="H59" s="344">
        <v>1.1723076923076923</v>
      </c>
      <c r="I59" s="165">
        <v>16.799999999999997</v>
      </c>
      <c r="J59" s="217">
        <v>1.1723076923076923</v>
      </c>
      <c r="K59" s="165"/>
      <c r="L59" s="165"/>
      <c r="M59" s="165"/>
      <c r="N59" s="165">
        <v>86.37</v>
      </c>
      <c r="O59" s="165">
        <v>11.129999999999995</v>
      </c>
      <c r="P59" s="217">
        <v>1.1288641889544981</v>
      </c>
      <c r="Q59" s="165">
        <v>86.37</v>
      </c>
      <c r="R59" s="165">
        <v>27.929999999999993</v>
      </c>
      <c r="S59" s="217">
        <v>1.3233761722820423</v>
      </c>
      <c r="T59" s="157">
        <v>9.099999999999994</v>
      </c>
      <c r="U59" s="160">
        <v>9.149999999999991</v>
      </c>
      <c r="V59" s="161">
        <v>0.04999999999999716</v>
      </c>
      <c r="W59" s="217">
        <v>1.0054945054945053</v>
      </c>
      <c r="X59" s="327">
        <f t="shared" si="2"/>
        <v>0.19451198332754416</v>
      </c>
      <c r="Y59" s="403">
        <f t="shared" si="1"/>
        <v>0.19451198332754416</v>
      </c>
    </row>
    <row r="60" spans="1:25" s="6" customFormat="1" ht="30.75">
      <c r="A60" s="8"/>
      <c r="B60" s="313" t="s">
        <v>105</v>
      </c>
      <c r="C60" s="49">
        <v>22010300</v>
      </c>
      <c r="D60" s="150">
        <v>1173</v>
      </c>
      <c r="E60" s="150">
        <v>1173</v>
      </c>
      <c r="F60" s="156">
        <v>1205.14</v>
      </c>
      <c r="G60" s="150">
        <v>32.1400000000001</v>
      </c>
      <c r="H60" s="344">
        <v>1.0273998294970164</v>
      </c>
      <c r="I60" s="165">
        <v>32.1400000000001</v>
      </c>
      <c r="J60" s="217">
        <v>1.0273998294970164</v>
      </c>
      <c r="K60" s="165"/>
      <c r="L60" s="165"/>
      <c r="M60" s="165"/>
      <c r="N60" s="165">
        <v>791.33</v>
      </c>
      <c r="O60" s="165">
        <v>381.66999999999996</v>
      </c>
      <c r="P60" s="217">
        <v>1.4823145843074317</v>
      </c>
      <c r="Q60" s="165">
        <v>791.33</v>
      </c>
      <c r="R60" s="165">
        <v>413.81000000000006</v>
      </c>
      <c r="S60" s="217">
        <v>1.522929751178396</v>
      </c>
      <c r="T60" s="157">
        <v>213</v>
      </c>
      <c r="U60" s="160">
        <v>107.99000000000001</v>
      </c>
      <c r="V60" s="161">
        <v>-105.00999999999999</v>
      </c>
      <c r="W60" s="217">
        <v>0.5069953051643193</v>
      </c>
      <c r="X60" s="327">
        <f t="shared" si="2"/>
        <v>0.040615166870964226</v>
      </c>
      <c r="Y60" s="403">
        <f t="shared" si="1"/>
        <v>0.040615166870964226</v>
      </c>
    </row>
    <row r="61" spans="1:25" s="6" customFormat="1" ht="18">
      <c r="A61" s="8"/>
      <c r="B61" s="130" t="s">
        <v>151</v>
      </c>
      <c r="C61" s="49">
        <v>22010200</v>
      </c>
      <c r="D61" s="150">
        <v>23</v>
      </c>
      <c r="E61" s="150">
        <v>23</v>
      </c>
      <c r="F61" s="156">
        <v>23.38</v>
      </c>
      <c r="G61" s="150">
        <v>0.379999999999999</v>
      </c>
      <c r="H61" s="344">
        <v>1.0165217391304346</v>
      </c>
      <c r="I61" s="165">
        <v>0.379999999999999</v>
      </c>
      <c r="J61" s="217">
        <v>1.0165217391304346</v>
      </c>
      <c r="K61" s="165"/>
      <c r="L61" s="165"/>
      <c r="M61" s="165"/>
      <c r="N61" s="165">
        <v>0</v>
      </c>
      <c r="O61" s="165">
        <v>23</v>
      </c>
      <c r="P61" s="217" t="e">
        <v>#DIV/0!</v>
      </c>
      <c r="Q61" s="165">
        <v>0</v>
      </c>
      <c r="R61" s="165">
        <v>23.38</v>
      </c>
      <c r="S61" s="217"/>
      <c r="T61" s="157">
        <v>0</v>
      </c>
      <c r="U61" s="160">
        <v>0</v>
      </c>
      <c r="V61" s="161">
        <v>0</v>
      </c>
      <c r="W61" s="217" t="e">
        <v>#DIV/0!</v>
      </c>
      <c r="X61" s="327" t="e">
        <f t="shared" si="2"/>
        <v>#DIV/0!</v>
      </c>
      <c r="Y61" s="403" t="e">
        <f t="shared" si="1"/>
        <v>#DIV/0!</v>
      </c>
    </row>
    <row r="62" spans="1:25" s="6" customFormat="1" ht="18">
      <c r="A62" s="8"/>
      <c r="B62" s="319" t="s">
        <v>78</v>
      </c>
      <c r="C62" s="72">
        <v>22012500</v>
      </c>
      <c r="D62" s="150">
        <v>19700</v>
      </c>
      <c r="E62" s="150">
        <v>19700</v>
      </c>
      <c r="F62" s="156">
        <v>20110.24</v>
      </c>
      <c r="G62" s="150">
        <v>410.2400000000016</v>
      </c>
      <c r="H62" s="344">
        <v>1.0208243654822335</v>
      </c>
      <c r="I62" s="165">
        <v>410.2400000000016</v>
      </c>
      <c r="J62" s="217">
        <v>1.0208243654822335</v>
      </c>
      <c r="K62" s="165"/>
      <c r="L62" s="165"/>
      <c r="M62" s="165"/>
      <c r="N62" s="165">
        <v>11422.5</v>
      </c>
      <c r="O62" s="165">
        <v>8277.5</v>
      </c>
      <c r="P62" s="217">
        <v>1.7246662289341212</v>
      </c>
      <c r="Q62" s="165">
        <v>11422.5</v>
      </c>
      <c r="R62" s="165">
        <v>8687.740000000002</v>
      </c>
      <c r="S62" s="217">
        <v>1.7605813088203108</v>
      </c>
      <c r="T62" s="157">
        <v>1400</v>
      </c>
      <c r="U62" s="160">
        <v>1668.890000000003</v>
      </c>
      <c r="V62" s="161">
        <v>268.89000000000306</v>
      </c>
      <c r="W62" s="217">
        <v>1.1920642857142878</v>
      </c>
      <c r="X62" s="327">
        <f t="shared" si="2"/>
        <v>0.03591507988618958</v>
      </c>
      <c r="Y62" s="403">
        <f t="shared" si="1"/>
        <v>0.03591507988618958</v>
      </c>
    </row>
    <row r="63" spans="1:25" s="6" customFormat="1" ht="31.5">
      <c r="A63" s="8"/>
      <c r="B63" s="319" t="s">
        <v>99</v>
      </c>
      <c r="C63" s="72">
        <v>22012600</v>
      </c>
      <c r="D63" s="150">
        <v>694</v>
      </c>
      <c r="E63" s="150">
        <v>694</v>
      </c>
      <c r="F63" s="156">
        <v>710.04</v>
      </c>
      <c r="G63" s="150">
        <v>16.039999999999964</v>
      </c>
      <c r="H63" s="344">
        <v>1.0231123919308356</v>
      </c>
      <c r="I63" s="165">
        <v>16.039999999999964</v>
      </c>
      <c r="J63" s="217">
        <v>1.0231123919308356</v>
      </c>
      <c r="K63" s="165"/>
      <c r="L63" s="165"/>
      <c r="M63" s="165"/>
      <c r="N63" s="165">
        <v>323.25</v>
      </c>
      <c r="O63" s="165">
        <v>370.75</v>
      </c>
      <c r="P63" s="217">
        <v>2.1469450889404484</v>
      </c>
      <c r="Q63" s="165">
        <v>323.25</v>
      </c>
      <c r="R63" s="165">
        <v>386.78999999999996</v>
      </c>
      <c r="S63" s="217">
        <v>2.196566125290023</v>
      </c>
      <c r="T63" s="157">
        <v>189</v>
      </c>
      <c r="U63" s="160">
        <v>96.86000000000001</v>
      </c>
      <c r="V63" s="161">
        <v>-92.13999999999999</v>
      </c>
      <c r="W63" s="217">
        <v>0.5124867724867725</v>
      </c>
      <c r="X63" s="327">
        <f t="shared" si="2"/>
        <v>0.0496210363495746</v>
      </c>
      <c r="Y63" s="403">
        <f t="shared" si="1"/>
        <v>0.0496210363495746</v>
      </c>
    </row>
    <row r="64" spans="1:25" s="6" customFormat="1" ht="31.5">
      <c r="A64" s="8"/>
      <c r="B64" s="33" t="s">
        <v>106</v>
      </c>
      <c r="C64" s="72">
        <v>22012900</v>
      </c>
      <c r="D64" s="150">
        <v>20</v>
      </c>
      <c r="E64" s="150">
        <v>20</v>
      </c>
      <c r="F64" s="156">
        <v>41.44</v>
      </c>
      <c r="G64" s="150">
        <v>21.439999999999998</v>
      </c>
      <c r="H64" s="344">
        <v>2.072</v>
      </c>
      <c r="I64" s="165">
        <v>21.439999999999998</v>
      </c>
      <c r="J64" s="217">
        <v>2.072</v>
      </c>
      <c r="K64" s="165"/>
      <c r="L64" s="165"/>
      <c r="M64" s="165"/>
      <c r="N64" s="165">
        <v>22.36</v>
      </c>
      <c r="O64" s="165">
        <v>-2.3599999999999994</v>
      </c>
      <c r="P64" s="217">
        <v>0.8944543828264758</v>
      </c>
      <c r="Q64" s="165">
        <v>22.36</v>
      </c>
      <c r="R64" s="165">
        <v>19.08</v>
      </c>
      <c r="S64" s="217">
        <v>1.8533094812164579</v>
      </c>
      <c r="T64" s="157">
        <v>1</v>
      </c>
      <c r="U64" s="160">
        <v>3.3599999999999994</v>
      </c>
      <c r="V64" s="161">
        <v>2.3599999999999994</v>
      </c>
      <c r="W64" s="217">
        <v>3.3599999999999994</v>
      </c>
      <c r="X64" s="327">
        <f t="shared" si="2"/>
        <v>0.9588550983899821</v>
      </c>
      <c r="Y64" s="403">
        <f t="shared" si="1"/>
        <v>0.9588550983899821</v>
      </c>
    </row>
    <row r="65" spans="1:25" s="6" customFormat="1" ht="30.75">
      <c r="A65" s="8"/>
      <c r="B65" s="130" t="s">
        <v>14</v>
      </c>
      <c r="C65" s="49">
        <v>22080400</v>
      </c>
      <c r="D65" s="150">
        <v>6452</v>
      </c>
      <c r="E65" s="150">
        <v>6452</v>
      </c>
      <c r="F65" s="156">
        <v>6545.96</v>
      </c>
      <c r="G65" s="150">
        <v>93.96000000000004</v>
      </c>
      <c r="H65" s="344">
        <v>1.0145629262244265</v>
      </c>
      <c r="I65" s="165">
        <v>93.96000000000004</v>
      </c>
      <c r="J65" s="217">
        <v>1.0145629262244265</v>
      </c>
      <c r="K65" s="165"/>
      <c r="L65" s="165"/>
      <c r="M65" s="165"/>
      <c r="N65" s="165">
        <v>7230.43</v>
      </c>
      <c r="O65" s="165">
        <v>-778.4300000000003</v>
      </c>
      <c r="P65" s="217">
        <v>0.8923397363642273</v>
      </c>
      <c r="Q65" s="165">
        <v>7230.43</v>
      </c>
      <c r="R65" s="165">
        <v>-684.4700000000003</v>
      </c>
      <c r="S65" s="217">
        <v>0.9053348141120238</v>
      </c>
      <c r="T65" s="157">
        <v>5</v>
      </c>
      <c r="U65" s="160">
        <v>620.3599999999997</v>
      </c>
      <c r="V65" s="161">
        <v>615.3599999999997</v>
      </c>
      <c r="W65" s="217">
        <v>124.07199999999993</v>
      </c>
      <c r="X65" s="327">
        <f t="shared" si="2"/>
        <v>0.012995077747796513</v>
      </c>
      <c r="Y65" s="403">
        <f t="shared" si="1"/>
        <v>0.012995077747796513</v>
      </c>
    </row>
    <row r="66" spans="1:25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v>987</v>
      </c>
      <c r="F66" s="156">
        <v>896.22</v>
      </c>
      <c r="G66" s="150">
        <v>-90.77999999999997</v>
      </c>
      <c r="H66" s="344">
        <v>0.9080243161094225</v>
      </c>
      <c r="I66" s="165">
        <v>-90.77999999999997</v>
      </c>
      <c r="J66" s="217">
        <v>0.9080243161094225</v>
      </c>
      <c r="K66" s="165"/>
      <c r="L66" s="165"/>
      <c r="M66" s="165"/>
      <c r="N66" s="165">
        <v>5161.34</v>
      </c>
      <c r="O66" s="165">
        <v>-4174.34</v>
      </c>
      <c r="P66" s="217">
        <v>0.19122940941693437</v>
      </c>
      <c r="Q66" s="165">
        <v>5161.34</v>
      </c>
      <c r="R66" s="165">
        <v>-4265.12</v>
      </c>
      <c r="S66" s="217">
        <v>0.17364095370582058</v>
      </c>
      <c r="T66" s="157">
        <v>2</v>
      </c>
      <c r="U66" s="160">
        <v>110.63999999999999</v>
      </c>
      <c r="V66" s="161">
        <v>108.63999999999999</v>
      </c>
      <c r="W66" s="217">
        <v>55.31999999999999</v>
      </c>
      <c r="X66" s="327">
        <f t="shared" si="2"/>
        <v>-0.017588455711113782</v>
      </c>
      <c r="Y66" s="403">
        <f t="shared" si="1"/>
        <v>-0.017588455711113782</v>
      </c>
    </row>
    <row r="67" spans="1:25" s="6" customFormat="1" ht="15" hidden="1">
      <c r="A67" s="8"/>
      <c r="B67" s="325" t="s">
        <v>97</v>
      </c>
      <c r="C67" s="123">
        <v>22090100</v>
      </c>
      <c r="D67" s="103">
        <v>820</v>
      </c>
      <c r="E67" s="103">
        <v>820</v>
      </c>
      <c r="F67" s="140">
        <v>760.62</v>
      </c>
      <c r="G67" s="103">
        <v>-59.379999999999995</v>
      </c>
      <c r="H67" s="340">
        <v>0.9275853658536586</v>
      </c>
      <c r="I67" s="104">
        <v>-59.379999999999995</v>
      </c>
      <c r="J67" s="109">
        <v>0.9275853658536586</v>
      </c>
      <c r="K67" s="104"/>
      <c r="L67" s="104"/>
      <c r="M67" s="104"/>
      <c r="N67" s="104">
        <v>835.21</v>
      </c>
      <c r="O67" s="104">
        <v>-15.210000000000036</v>
      </c>
      <c r="P67" s="109">
        <v>0.9817890111468971</v>
      </c>
      <c r="Q67" s="104">
        <v>835.21</v>
      </c>
      <c r="R67" s="334">
        <v>-74.59000000000003</v>
      </c>
      <c r="S67" s="335">
        <v>0.9106931190957962</v>
      </c>
      <c r="T67" s="105">
        <v>0</v>
      </c>
      <c r="U67" s="144">
        <v>98.86000000000001</v>
      </c>
      <c r="V67" s="106">
        <v>98.86000000000001</v>
      </c>
      <c r="W67" s="109" t="e">
        <v>#DIV/0!</v>
      </c>
      <c r="X67" s="327">
        <f t="shared" si="2"/>
        <v>-0.0710958920511009</v>
      </c>
      <c r="Y67" s="403">
        <f t="shared" si="1"/>
        <v>-0.0710958920511009</v>
      </c>
    </row>
    <row r="68" spans="1:25" s="6" customFormat="1" ht="15" hidden="1">
      <c r="A68" s="8"/>
      <c r="B68" s="325" t="s">
        <v>94</v>
      </c>
      <c r="C68" s="123">
        <v>22090200</v>
      </c>
      <c r="D68" s="103">
        <v>1</v>
      </c>
      <c r="E68" s="103">
        <v>1</v>
      </c>
      <c r="F68" s="140">
        <v>0.18</v>
      </c>
      <c r="G68" s="103">
        <v>-0.8200000000000001</v>
      </c>
      <c r="H68" s="340">
        <v>0.18</v>
      </c>
      <c r="I68" s="104">
        <v>-0.8200000000000001</v>
      </c>
      <c r="J68" s="109">
        <v>0.18</v>
      </c>
      <c r="K68" s="104"/>
      <c r="L68" s="104"/>
      <c r="M68" s="104"/>
      <c r="N68" s="104">
        <v>0.38</v>
      </c>
      <c r="O68" s="104">
        <v>0.62</v>
      </c>
      <c r="P68" s="109">
        <v>2.6315789473684212</v>
      </c>
      <c r="Q68" s="104">
        <v>0.38</v>
      </c>
      <c r="R68" s="334">
        <v>-0.2</v>
      </c>
      <c r="S68" s="335">
        <v>0.47368421052631576</v>
      </c>
      <c r="T68" s="105">
        <v>1</v>
      </c>
      <c r="U68" s="144">
        <v>0</v>
      </c>
      <c r="V68" s="106">
        <v>-1</v>
      </c>
      <c r="W68" s="109"/>
      <c r="X68" s="327">
        <f t="shared" si="2"/>
        <v>-2.1578947368421053</v>
      </c>
      <c r="Y68" s="403">
        <f t="shared" si="1"/>
        <v>-2.1578947368421053</v>
      </c>
    </row>
    <row r="69" spans="1:25" s="6" customFormat="1" ht="15" hidden="1">
      <c r="A69" s="8"/>
      <c r="B69" s="325" t="s">
        <v>95</v>
      </c>
      <c r="C69" s="123">
        <v>22090300</v>
      </c>
      <c r="D69" s="103">
        <v>1</v>
      </c>
      <c r="E69" s="103">
        <v>1</v>
      </c>
      <c r="F69" s="140">
        <v>0</v>
      </c>
      <c r="G69" s="103">
        <v>-1</v>
      </c>
      <c r="H69" s="340">
        <v>0</v>
      </c>
      <c r="I69" s="104">
        <v>-1</v>
      </c>
      <c r="J69" s="109">
        <v>0</v>
      </c>
      <c r="K69" s="104"/>
      <c r="L69" s="104"/>
      <c r="M69" s="104"/>
      <c r="N69" s="104">
        <v>0.02</v>
      </c>
      <c r="O69" s="104">
        <v>0.98</v>
      </c>
      <c r="P69" s="109">
        <v>50</v>
      </c>
      <c r="Q69" s="104">
        <v>0.02</v>
      </c>
      <c r="R69" s="334">
        <v>-0.02</v>
      </c>
      <c r="S69" s="335">
        <v>0</v>
      </c>
      <c r="T69" s="105">
        <v>1</v>
      </c>
      <c r="U69" s="144">
        <v>0</v>
      </c>
      <c r="V69" s="106">
        <v>-1</v>
      </c>
      <c r="W69" s="109"/>
      <c r="X69" s="327">
        <f t="shared" si="2"/>
        <v>-50</v>
      </c>
      <c r="Y69" s="403">
        <f t="shared" si="1"/>
        <v>-50</v>
      </c>
    </row>
    <row r="70" spans="1:25" s="6" customFormat="1" ht="15" hidden="1">
      <c r="A70" s="8"/>
      <c r="B70" s="325" t="s">
        <v>96</v>
      </c>
      <c r="C70" s="123">
        <v>22090400</v>
      </c>
      <c r="D70" s="103">
        <v>165</v>
      </c>
      <c r="E70" s="103">
        <v>165</v>
      </c>
      <c r="F70" s="140">
        <v>135.42</v>
      </c>
      <c r="G70" s="103">
        <v>-29.580000000000013</v>
      </c>
      <c r="H70" s="340">
        <v>0.8207272727272726</v>
      </c>
      <c r="I70" s="104">
        <v>-29.580000000000013</v>
      </c>
      <c r="J70" s="109">
        <v>0.8207272727272726</v>
      </c>
      <c r="K70" s="104"/>
      <c r="L70" s="104"/>
      <c r="M70" s="104"/>
      <c r="N70" s="104">
        <v>4325.74</v>
      </c>
      <c r="O70" s="104">
        <v>-4160.74</v>
      </c>
      <c r="P70" s="109">
        <v>0.03814376268569077</v>
      </c>
      <c r="Q70" s="104">
        <v>4325.74</v>
      </c>
      <c r="R70" s="334">
        <v>-4190.32</v>
      </c>
      <c r="S70" s="335">
        <v>0.0313056263205833</v>
      </c>
      <c r="T70" s="105">
        <v>0</v>
      </c>
      <c r="U70" s="144">
        <v>11.779999999999987</v>
      </c>
      <c r="V70" s="106">
        <v>11.779999999999987</v>
      </c>
      <c r="W70" s="109" t="e">
        <v>#DIV/0!</v>
      </c>
      <c r="X70" s="327">
        <f t="shared" si="2"/>
        <v>-0.006838136365107474</v>
      </c>
      <c r="Y70" s="403">
        <f t="shared" si="1"/>
        <v>-0.006838136365107474</v>
      </c>
    </row>
    <row r="71" spans="1:25" s="6" customFormat="1" ht="46.5">
      <c r="A71" s="8"/>
      <c r="B71" s="130" t="s">
        <v>17</v>
      </c>
      <c r="C71" s="11" t="s">
        <v>18</v>
      </c>
      <c r="D71" s="150">
        <v>2.5</v>
      </c>
      <c r="E71" s="150">
        <v>2.5</v>
      </c>
      <c r="F71" s="156">
        <v>2.04</v>
      </c>
      <c r="G71" s="150">
        <v>-0.45999999999999996</v>
      </c>
      <c r="H71" s="344">
        <v>0.8160000000000001</v>
      </c>
      <c r="I71" s="165">
        <v>-0.45999999999999996</v>
      </c>
      <c r="J71" s="217">
        <v>0.8160000000000001</v>
      </c>
      <c r="K71" s="165"/>
      <c r="L71" s="165"/>
      <c r="M71" s="165"/>
      <c r="N71" s="165">
        <v>2.46</v>
      </c>
      <c r="O71" s="165">
        <v>0.040000000000000036</v>
      </c>
      <c r="P71" s="217">
        <v>1.016260162601626</v>
      </c>
      <c r="Q71" s="165">
        <v>2.46</v>
      </c>
      <c r="R71" s="165">
        <v>-0.41999999999999993</v>
      </c>
      <c r="S71" s="217">
        <v>0.8292682926829269</v>
      </c>
      <c r="T71" s="157">
        <v>0</v>
      </c>
      <c r="U71" s="160">
        <v>0</v>
      </c>
      <c r="V71" s="161">
        <v>0</v>
      </c>
      <c r="W71" s="217"/>
      <c r="X71" s="327">
        <f t="shared" si="2"/>
        <v>-0.1869918699186992</v>
      </c>
      <c r="Y71" s="403">
        <f t="shared" si="1"/>
        <v>-0.1869918699186992</v>
      </c>
    </row>
    <row r="72" spans="1:25" s="6" customFormat="1" ht="15.75" customHeight="1">
      <c r="A72" s="8"/>
      <c r="B72" s="131" t="s">
        <v>13</v>
      </c>
      <c r="C72" s="11" t="s">
        <v>19</v>
      </c>
      <c r="D72" s="150">
        <v>7875</v>
      </c>
      <c r="E72" s="150">
        <v>7875</v>
      </c>
      <c r="F72" s="156">
        <v>8086.92</v>
      </c>
      <c r="G72" s="150">
        <v>211.92000000000007</v>
      </c>
      <c r="H72" s="344">
        <v>1.0269104761904762</v>
      </c>
      <c r="I72" s="165">
        <v>211.92000000000007</v>
      </c>
      <c r="J72" s="217">
        <v>1.0269104761904762</v>
      </c>
      <c r="K72" s="165"/>
      <c r="L72" s="165"/>
      <c r="M72" s="165"/>
      <c r="N72" s="165">
        <v>6525.16</v>
      </c>
      <c r="O72" s="165">
        <v>1349.8400000000001</v>
      </c>
      <c r="P72" s="217">
        <v>1.2068669580516034</v>
      </c>
      <c r="Q72" s="165">
        <v>6525.16</v>
      </c>
      <c r="R72" s="165">
        <v>1561.7600000000002</v>
      </c>
      <c r="S72" s="217">
        <v>1.2393443225913234</v>
      </c>
      <c r="T72" s="157">
        <v>775</v>
      </c>
      <c r="U72" s="160">
        <v>721.6300000000001</v>
      </c>
      <c r="V72" s="161">
        <v>-53.36999999999989</v>
      </c>
      <c r="W72" s="217">
        <v>0.9311354838709679</v>
      </c>
      <c r="X72" s="327">
        <f t="shared" si="2"/>
        <v>0.032477364539720055</v>
      </c>
      <c r="Y72" s="403">
        <f t="shared" si="1"/>
        <v>0.032477364539720055</v>
      </c>
    </row>
    <row r="73" spans="1:25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v>0</v>
      </c>
      <c r="H73" s="344" t="e">
        <v>#DIV/0!</v>
      </c>
      <c r="I73" s="165">
        <v>0</v>
      </c>
      <c r="J73" s="217" t="e">
        <v>#DIV/0!</v>
      </c>
      <c r="K73" s="165"/>
      <c r="L73" s="165"/>
      <c r="M73" s="165"/>
      <c r="N73" s="165"/>
      <c r="O73" s="165"/>
      <c r="P73" s="217"/>
      <c r="Q73" s="165">
        <v>0</v>
      </c>
      <c r="R73" s="165">
        <v>0</v>
      </c>
      <c r="S73" s="217" t="e">
        <v>#DIV/0!</v>
      </c>
      <c r="T73" s="157">
        <v>0</v>
      </c>
      <c r="U73" s="160">
        <v>0</v>
      </c>
      <c r="V73" s="161">
        <v>0</v>
      </c>
      <c r="W73" s="217" t="e">
        <v>#DIV/0!</v>
      </c>
      <c r="X73" s="327" t="e">
        <f t="shared" si="2"/>
        <v>#DIV/0!</v>
      </c>
      <c r="Y73" s="403" t="e">
        <f aca="true" t="shared" si="3" ref="Y73:Y136">S73-P73</f>
        <v>#DIV/0!</v>
      </c>
    </row>
    <row r="74" spans="1:25" s="6" customFormat="1" ht="30.75">
      <c r="A74" s="8"/>
      <c r="B74" s="50" t="s">
        <v>42</v>
      </c>
      <c r="C74" s="61"/>
      <c r="D74" s="103"/>
      <c r="E74" s="103"/>
      <c r="F74" s="200">
        <v>2095.91</v>
      </c>
      <c r="G74" s="244"/>
      <c r="H74" s="344"/>
      <c r="I74" s="245"/>
      <c r="J74" s="271"/>
      <c r="K74" s="245"/>
      <c r="L74" s="245"/>
      <c r="M74" s="245"/>
      <c r="N74" s="245">
        <v>1411.18</v>
      </c>
      <c r="O74" s="165"/>
      <c r="P74" s="217"/>
      <c r="Q74" s="166">
        <v>1411.18</v>
      </c>
      <c r="R74" s="245"/>
      <c r="S74" s="271">
        <v>1.4852180444734193</v>
      </c>
      <c r="T74" s="157"/>
      <c r="U74" s="178">
        <v>147.02999999999975</v>
      </c>
      <c r="V74" s="166">
        <v>147.02999999999975</v>
      </c>
      <c r="W74" s="217"/>
      <c r="X74" s="327"/>
      <c r="Y74" s="403">
        <f t="shared" si="3"/>
        <v>1.4852180444734193</v>
      </c>
    </row>
    <row r="75" spans="1:25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v>0</v>
      </c>
      <c r="H75" s="344" t="e">
        <v>#DIV/0!</v>
      </c>
      <c r="I75" s="165">
        <v>0</v>
      </c>
      <c r="J75" s="217" t="e">
        <v>#DIV/0!</v>
      </c>
      <c r="K75" s="165"/>
      <c r="L75" s="165"/>
      <c r="M75" s="165"/>
      <c r="N75" s="165"/>
      <c r="O75" s="165"/>
      <c r="P75" s="217"/>
      <c r="Q75" s="166">
        <v>0</v>
      </c>
      <c r="R75" s="165">
        <v>0</v>
      </c>
      <c r="S75" s="217" t="e">
        <v>#DIV/0!</v>
      </c>
      <c r="T75" s="157">
        <v>0</v>
      </c>
      <c r="U75" s="160">
        <v>0</v>
      </c>
      <c r="V75" s="161">
        <v>0</v>
      </c>
      <c r="W75" s="217" t="e">
        <v>#DIV/0!</v>
      </c>
      <c r="X75" s="327" t="e">
        <f t="shared" si="2"/>
        <v>#DIV/0!</v>
      </c>
      <c r="Y75" s="403" t="e">
        <f t="shared" si="3"/>
        <v>#DIV/0!</v>
      </c>
    </row>
    <row r="76" spans="1:25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v>160</v>
      </c>
      <c r="F76" s="156">
        <v>142.18</v>
      </c>
      <c r="G76" s="150">
        <v>-17.819999999999993</v>
      </c>
      <c r="H76" s="344">
        <v>0.888625</v>
      </c>
      <c r="I76" s="165">
        <v>-17.819999999999993</v>
      </c>
      <c r="J76" s="217">
        <v>0.888625</v>
      </c>
      <c r="K76" s="165"/>
      <c r="L76" s="165"/>
      <c r="M76" s="165"/>
      <c r="N76" s="165">
        <v>226.72</v>
      </c>
      <c r="O76" s="165">
        <v>-66.72</v>
      </c>
      <c r="P76" s="217">
        <v>0.7057163020465773</v>
      </c>
      <c r="Q76" s="165">
        <v>226.72</v>
      </c>
      <c r="R76" s="165">
        <v>-84.53999999999999</v>
      </c>
      <c r="S76" s="217">
        <v>0.6271171489061398</v>
      </c>
      <c r="T76" s="157">
        <v>70</v>
      </c>
      <c r="U76" s="160">
        <v>0</v>
      </c>
      <c r="V76" s="161">
        <v>-70</v>
      </c>
      <c r="W76" s="217">
        <v>0</v>
      </c>
      <c r="X76" s="327">
        <f t="shared" si="2"/>
        <v>-0.07859915314043753</v>
      </c>
      <c r="Y76" s="403">
        <f t="shared" si="3"/>
        <v>-0.07859915314043753</v>
      </c>
    </row>
    <row r="77" spans="1:25" s="6" customFormat="1" ht="27.75" customHeight="1">
      <c r="A77" s="8"/>
      <c r="B77" s="131" t="s">
        <v>44</v>
      </c>
      <c r="C77" s="43">
        <v>31010200</v>
      </c>
      <c r="D77" s="150">
        <v>15</v>
      </c>
      <c r="E77" s="150">
        <v>15</v>
      </c>
      <c r="F77" s="156">
        <v>34.22</v>
      </c>
      <c r="G77" s="150">
        <v>19.22</v>
      </c>
      <c r="H77" s="344">
        <v>2.2813333333333334</v>
      </c>
      <c r="I77" s="165">
        <v>19.22</v>
      </c>
      <c r="J77" s="217">
        <v>2.2813333333333334</v>
      </c>
      <c r="K77" s="165"/>
      <c r="L77" s="165"/>
      <c r="M77" s="165"/>
      <c r="N77" s="165">
        <v>13.52</v>
      </c>
      <c r="O77" s="165">
        <v>1.4800000000000004</v>
      </c>
      <c r="P77" s="217">
        <v>1.1094674556213018</v>
      </c>
      <c r="Q77" s="165">
        <v>13.52</v>
      </c>
      <c r="R77" s="165">
        <v>20.7</v>
      </c>
      <c r="S77" s="217">
        <v>2.5310650887573964</v>
      </c>
      <c r="T77" s="157">
        <v>1.1999999999999993</v>
      </c>
      <c r="U77" s="160">
        <v>0</v>
      </c>
      <c r="V77" s="161">
        <v>-1.1999999999999993</v>
      </c>
      <c r="W77" s="217">
        <v>0</v>
      </c>
      <c r="X77" s="327">
        <f t="shared" si="2"/>
        <v>1.4215976331360947</v>
      </c>
      <c r="Y77" s="403">
        <f t="shared" si="3"/>
        <v>1.4215976331360947</v>
      </c>
    </row>
    <row r="78" spans="1:25" s="6" customFormat="1" ht="30.75">
      <c r="A78" s="8"/>
      <c r="B78" s="131" t="s">
        <v>57</v>
      </c>
      <c r="C78" s="43">
        <v>31020000</v>
      </c>
      <c r="D78" s="150">
        <v>0</v>
      </c>
      <c r="E78" s="150">
        <v>0</v>
      </c>
      <c r="F78" s="156">
        <v>-4.86</v>
      </c>
      <c r="G78" s="150">
        <v>-4.86</v>
      </c>
      <c r="H78" s="344" t="e">
        <v>#DIV/0!</v>
      </c>
      <c r="I78" s="165">
        <v>-4.86</v>
      </c>
      <c r="J78" s="217"/>
      <c r="K78" s="165"/>
      <c r="L78" s="165"/>
      <c r="M78" s="165"/>
      <c r="N78" s="165">
        <v>7.37</v>
      </c>
      <c r="O78" s="165">
        <v>-7.37</v>
      </c>
      <c r="P78" s="217">
        <v>0</v>
      </c>
      <c r="Q78" s="165">
        <v>7.37</v>
      </c>
      <c r="R78" s="165">
        <v>-12.23</v>
      </c>
      <c r="S78" s="217">
        <v>-0.6594301221166893</v>
      </c>
      <c r="T78" s="157">
        <v>0</v>
      </c>
      <c r="U78" s="160">
        <v>0.13999999999999968</v>
      </c>
      <c r="V78" s="161">
        <v>0.13999999999999968</v>
      </c>
      <c r="W78" s="217"/>
      <c r="X78" s="327">
        <f t="shared" si="2"/>
        <v>-0.6594301221166893</v>
      </c>
      <c r="Y78" s="403">
        <f t="shared" si="3"/>
        <v>-0.6594301221166893</v>
      </c>
    </row>
    <row r="79" spans="1:25" s="6" customFormat="1" ht="17.25">
      <c r="A79" s="9"/>
      <c r="B79" s="14" t="s">
        <v>148</v>
      </c>
      <c r="C79" s="62"/>
      <c r="D79" s="151">
        <v>1398891.1</v>
      </c>
      <c r="E79" s="151">
        <v>1398891.1</v>
      </c>
      <c r="F79" s="151">
        <v>1398996.47</v>
      </c>
      <c r="G79" s="151">
        <v>105.36999999987893</v>
      </c>
      <c r="H79" s="341">
        <v>1.000075323947661</v>
      </c>
      <c r="I79" s="153">
        <v>105.36999999987893</v>
      </c>
      <c r="J79" s="218">
        <v>1.000075323947661</v>
      </c>
      <c r="K79" s="153"/>
      <c r="L79" s="153"/>
      <c r="M79" s="153"/>
      <c r="N79" s="153">
        <v>1053569.51</v>
      </c>
      <c r="O79" s="153">
        <v>345321.5900000001</v>
      </c>
      <c r="P79" s="218">
        <v>1.3277634619475653</v>
      </c>
      <c r="Q79" s="151">
        <v>1053569.51</v>
      </c>
      <c r="R79" s="153">
        <v>345426.95999999996</v>
      </c>
      <c r="S79" s="218">
        <v>1.3278634743330793</v>
      </c>
      <c r="T79" s="151">
        <v>154133.80000000002</v>
      </c>
      <c r="U79" s="151">
        <v>130084.83000000012</v>
      </c>
      <c r="V79" s="193">
        <v>-24048.9699999999</v>
      </c>
      <c r="W79" s="218">
        <v>0.843973417900552</v>
      </c>
      <c r="X79" s="327">
        <f t="shared" si="2"/>
        <v>0.00010001238551393676</v>
      </c>
      <c r="Y79" s="404">
        <f t="shared" si="3"/>
        <v>0.00010001238551393676</v>
      </c>
    </row>
    <row r="80" spans="1:25" s="48" customFormat="1" ht="17.25" hidden="1">
      <c r="A80" s="45"/>
      <c r="B80" s="55"/>
      <c r="C80" s="63"/>
      <c r="D80" s="46"/>
      <c r="E80" s="46"/>
      <c r="F80" s="82"/>
      <c r="G80" s="77"/>
      <c r="H80" s="345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27">
        <f t="shared" si="2"/>
        <v>0</v>
      </c>
      <c r="Y80" s="403">
        <f t="shared" si="3"/>
        <v>0</v>
      </c>
    </row>
    <row r="81" spans="1:25" s="48" customFormat="1" ht="17.25" hidden="1">
      <c r="A81" s="45"/>
      <c r="B81" s="56"/>
      <c r="C81" s="63"/>
      <c r="D81" s="57"/>
      <c r="E81" s="46"/>
      <c r="F81" s="82"/>
      <c r="G81" s="40"/>
      <c r="H81" s="345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27">
        <f t="shared" si="2"/>
        <v>0</v>
      </c>
      <c r="Y81" s="403">
        <f t="shared" si="3"/>
        <v>0</v>
      </c>
    </row>
    <row r="82" spans="1:25" s="48" customFormat="1" ht="17.25" hidden="1">
      <c r="A82" s="45"/>
      <c r="B82" s="56"/>
      <c r="C82" s="63"/>
      <c r="D82" s="57"/>
      <c r="E82" s="34"/>
      <c r="F82" s="111"/>
      <c r="G82" s="40"/>
      <c r="H82" s="345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27">
        <f t="shared" si="2"/>
        <v>0</v>
      </c>
      <c r="Y82" s="403">
        <f t="shared" si="3"/>
        <v>0</v>
      </c>
    </row>
    <row r="83" spans="2:25" ht="15">
      <c r="B83" s="22" t="s">
        <v>108</v>
      </c>
      <c r="C83" s="64"/>
      <c r="D83" s="24"/>
      <c r="E83" s="24"/>
      <c r="F83" s="142"/>
      <c r="G83" s="34"/>
      <c r="H83" s="346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27">
        <f t="shared" si="2"/>
        <v>0</v>
      </c>
      <c r="Y83" s="403">
        <f t="shared" si="3"/>
        <v>0</v>
      </c>
    </row>
    <row r="84" spans="2:25" ht="25.5" customHeight="1" hidden="1">
      <c r="B84" s="232" t="s">
        <v>100</v>
      </c>
      <c r="C84" s="135">
        <v>12020000</v>
      </c>
      <c r="D84" s="179">
        <v>0</v>
      </c>
      <c r="E84" s="179"/>
      <c r="F84" s="180">
        <v>0.01</v>
      </c>
      <c r="G84" s="162"/>
      <c r="H84" s="344"/>
      <c r="I84" s="167"/>
      <c r="J84" s="208"/>
      <c r="K84" s="167"/>
      <c r="L84" s="167"/>
      <c r="M84" s="167"/>
      <c r="N84" s="167"/>
      <c r="O84" s="167"/>
      <c r="P84" s="208"/>
      <c r="Q84" s="167">
        <v>0</v>
      </c>
      <c r="R84" s="167">
        <v>0.01</v>
      </c>
      <c r="S84" s="208" t="e">
        <v>#DIV/0!</v>
      </c>
      <c r="T84" s="162">
        <v>0</v>
      </c>
      <c r="U84" s="160">
        <v>0</v>
      </c>
      <c r="V84" s="167"/>
      <c r="W84" s="208"/>
      <c r="X84" s="327" t="e">
        <f t="shared" si="2"/>
        <v>#DIV/0!</v>
      </c>
      <c r="Y84" s="403" t="e">
        <f t="shared" si="3"/>
        <v>#DIV/0!</v>
      </c>
    </row>
    <row r="85" spans="2:25" ht="31.5">
      <c r="B85" s="23" t="s">
        <v>62</v>
      </c>
      <c r="C85" s="73">
        <v>18041500</v>
      </c>
      <c r="D85" s="179">
        <v>0</v>
      </c>
      <c r="E85" s="179"/>
      <c r="F85" s="180">
        <v>-2.64</v>
      </c>
      <c r="G85" s="162">
        <v>-2.64</v>
      </c>
      <c r="H85" s="344"/>
      <c r="I85" s="167">
        <v>-2.64</v>
      </c>
      <c r="J85" s="208"/>
      <c r="K85" s="167"/>
      <c r="L85" s="167"/>
      <c r="M85" s="167"/>
      <c r="N85" s="167">
        <v>-10.19</v>
      </c>
      <c r="O85" s="167">
        <v>10.19</v>
      </c>
      <c r="P85" s="208">
        <v>0</v>
      </c>
      <c r="Q85" s="167">
        <v>-10.19</v>
      </c>
      <c r="R85" s="167">
        <v>7.549999999999999</v>
      </c>
      <c r="S85" s="208">
        <v>0.2590775269872424</v>
      </c>
      <c r="T85" s="162">
        <v>0</v>
      </c>
      <c r="U85" s="160">
        <v>0</v>
      </c>
      <c r="V85" s="167">
        <v>0</v>
      </c>
      <c r="W85" s="208"/>
      <c r="X85" s="327">
        <f t="shared" si="2"/>
        <v>0.2590775269872424</v>
      </c>
      <c r="Y85" s="403">
        <f t="shared" si="3"/>
        <v>0.2590775269872424</v>
      </c>
    </row>
    <row r="86" spans="2:25" ht="17.25">
      <c r="B86" s="28" t="s">
        <v>45</v>
      </c>
      <c r="C86" s="74"/>
      <c r="D86" s="182">
        <v>0</v>
      </c>
      <c r="E86" s="182">
        <v>0</v>
      </c>
      <c r="F86" s="183">
        <v>-2.6300000000000003</v>
      </c>
      <c r="G86" s="184">
        <v>-2.6300000000000003</v>
      </c>
      <c r="H86" s="347"/>
      <c r="I86" s="186">
        <v>-2.6300000000000003</v>
      </c>
      <c r="J86" s="213"/>
      <c r="K86" s="186"/>
      <c r="L86" s="186"/>
      <c r="M86" s="186"/>
      <c r="N86" s="186">
        <v>-10.18</v>
      </c>
      <c r="O86" s="186">
        <v>10.18</v>
      </c>
      <c r="P86" s="213">
        <v>0</v>
      </c>
      <c r="Q86" s="186">
        <v>-10.18</v>
      </c>
      <c r="R86" s="186">
        <v>7.549999999999999</v>
      </c>
      <c r="S86" s="213">
        <v>0.25834970530451873</v>
      </c>
      <c r="T86" s="184">
        <v>0</v>
      </c>
      <c r="U86" s="187">
        <v>0</v>
      </c>
      <c r="V86" s="186">
        <v>0</v>
      </c>
      <c r="W86" s="213"/>
      <c r="X86" s="327">
        <f t="shared" si="2"/>
        <v>0.25834970530451873</v>
      </c>
      <c r="Y86" s="403">
        <f t="shared" si="3"/>
        <v>0.25834970530451873</v>
      </c>
    </row>
    <row r="87" spans="2:25" ht="45.75">
      <c r="B87" s="28" t="s">
        <v>37</v>
      </c>
      <c r="C87" s="135">
        <v>21110000</v>
      </c>
      <c r="D87" s="182">
        <v>0</v>
      </c>
      <c r="E87" s="182">
        <v>0</v>
      </c>
      <c r="F87" s="183">
        <v>35.57</v>
      </c>
      <c r="G87" s="184">
        <v>35.57</v>
      </c>
      <c r="H87" s="347"/>
      <c r="I87" s="186">
        <v>35.57</v>
      </c>
      <c r="J87" s="213"/>
      <c r="K87" s="186"/>
      <c r="L87" s="186"/>
      <c r="M87" s="186"/>
      <c r="N87" s="186">
        <v>0</v>
      </c>
      <c r="O87" s="186">
        <v>0</v>
      </c>
      <c r="P87" s="213" t="e">
        <v>#DIV/0!</v>
      </c>
      <c r="Q87" s="186">
        <v>0</v>
      </c>
      <c r="R87" s="186">
        <v>35.57</v>
      </c>
      <c r="S87" s="208"/>
      <c r="T87" s="185">
        <v>0</v>
      </c>
      <c r="U87" s="263">
        <v>0</v>
      </c>
      <c r="V87" s="186">
        <v>0</v>
      </c>
      <c r="W87" s="213"/>
      <c r="X87" s="327"/>
      <c r="Y87" s="403" t="e">
        <f t="shared" si="3"/>
        <v>#DIV/0!</v>
      </c>
    </row>
    <row r="88" spans="2:25" ht="31.5">
      <c r="B88" s="23" t="s">
        <v>29</v>
      </c>
      <c r="C88" s="73">
        <v>31030000</v>
      </c>
      <c r="D88" s="179">
        <v>16036.455000000002</v>
      </c>
      <c r="E88" s="179">
        <v>16036.455000000002</v>
      </c>
      <c r="F88" s="180">
        <v>938.14</v>
      </c>
      <c r="G88" s="162">
        <v>-15098.315000000002</v>
      </c>
      <c r="H88" s="344">
        <v>0.05850046035735453</v>
      </c>
      <c r="I88" s="167">
        <v>-15098.315000000002</v>
      </c>
      <c r="J88" s="208">
        <v>0.05850046035735453</v>
      </c>
      <c r="K88" s="167"/>
      <c r="L88" s="167"/>
      <c r="M88" s="167"/>
      <c r="N88" s="167">
        <v>4618.99</v>
      </c>
      <c r="O88" s="167">
        <v>11417.465000000002</v>
      </c>
      <c r="P88" s="208">
        <v>3.4718531540444992</v>
      </c>
      <c r="Q88" s="167">
        <v>4618.99</v>
      </c>
      <c r="R88" s="167">
        <v>-3680.85</v>
      </c>
      <c r="S88" s="208">
        <v>0.20310500780473653</v>
      </c>
      <c r="T88" s="157">
        <v>-39807.055</v>
      </c>
      <c r="U88" s="160">
        <v>0.03999999999996362</v>
      </c>
      <c r="V88" s="167">
        <v>39807.095</v>
      </c>
      <c r="W88" s="208">
        <v>-1.004847005134231E-06</v>
      </c>
      <c r="X88" s="327">
        <f t="shared" si="2"/>
        <v>-3.2687481462397625</v>
      </c>
      <c r="Y88" s="403">
        <f t="shared" si="3"/>
        <v>-3.2687481462397625</v>
      </c>
    </row>
    <row r="89" spans="2:25" ht="18">
      <c r="B89" s="23" t="s">
        <v>30</v>
      </c>
      <c r="C89" s="73">
        <v>33010000</v>
      </c>
      <c r="D89" s="179">
        <v>54000</v>
      </c>
      <c r="E89" s="179">
        <v>54000</v>
      </c>
      <c r="F89" s="180">
        <v>8143.65</v>
      </c>
      <c r="G89" s="162">
        <v>-45856.35</v>
      </c>
      <c r="H89" s="344">
        <v>0.15080833333333332</v>
      </c>
      <c r="I89" s="167">
        <v>-45856.35</v>
      </c>
      <c r="J89" s="208">
        <v>0.15080833333333332</v>
      </c>
      <c r="K89" s="167"/>
      <c r="L89" s="167"/>
      <c r="M89" s="167"/>
      <c r="N89" s="167">
        <v>10435.77</v>
      </c>
      <c r="O89" s="167">
        <v>43564.229999999996</v>
      </c>
      <c r="P89" s="208">
        <v>5.174510361956999</v>
      </c>
      <c r="Q89" s="167">
        <v>10435.77</v>
      </c>
      <c r="R89" s="167">
        <v>-2292.120000000001</v>
      </c>
      <c r="S89" s="208">
        <v>0.7803592835027985</v>
      </c>
      <c r="T89" s="157">
        <v>20370</v>
      </c>
      <c r="U89" s="160">
        <v>288.65999999999985</v>
      </c>
      <c r="V89" s="167">
        <v>-20081.34</v>
      </c>
      <c r="W89" s="208">
        <v>0.014170839469808535</v>
      </c>
      <c r="X89" s="327">
        <f t="shared" si="2"/>
        <v>-4.3941510784542</v>
      </c>
      <c r="Y89" s="403">
        <f t="shared" si="3"/>
        <v>-4.3941510784542</v>
      </c>
    </row>
    <row r="90" spans="2:25" ht="31.5">
      <c r="B90" s="23" t="s">
        <v>54</v>
      </c>
      <c r="C90" s="73">
        <v>24170000</v>
      </c>
      <c r="D90" s="179">
        <v>79000</v>
      </c>
      <c r="E90" s="179">
        <v>79000</v>
      </c>
      <c r="F90" s="180">
        <v>17305.88</v>
      </c>
      <c r="G90" s="162">
        <v>-61694.119999999995</v>
      </c>
      <c r="H90" s="344">
        <v>0.21906177215189876</v>
      </c>
      <c r="I90" s="167">
        <v>-61694.119999999995</v>
      </c>
      <c r="J90" s="208">
        <v>0.21906177215189876</v>
      </c>
      <c r="K90" s="167"/>
      <c r="L90" s="167"/>
      <c r="M90" s="167"/>
      <c r="N90" s="167">
        <v>12593.19</v>
      </c>
      <c r="O90" s="167">
        <v>66406.81</v>
      </c>
      <c r="P90" s="208">
        <v>6.273231802267733</v>
      </c>
      <c r="Q90" s="167">
        <v>12593.19</v>
      </c>
      <c r="R90" s="167">
        <v>4712.6900000000005</v>
      </c>
      <c r="S90" s="208">
        <v>1.3742252757244193</v>
      </c>
      <c r="T90" s="157">
        <v>23700</v>
      </c>
      <c r="U90" s="160">
        <v>1599.3400000000001</v>
      </c>
      <c r="V90" s="167">
        <v>-22100.66</v>
      </c>
      <c r="W90" s="208">
        <v>0.06748270042194093</v>
      </c>
      <c r="X90" s="327">
        <f t="shared" si="2"/>
        <v>-4.899006526543314</v>
      </c>
      <c r="Y90" s="403">
        <f t="shared" si="3"/>
        <v>-4.899006526543314</v>
      </c>
    </row>
    <row r="91" spans="2:25" ht="18">
      <c r="B91" s="23" t="s">
        <v>101</v>
      </c>
      <c r="C91" s="73">
        <v>24110700</v>
      </c>
      <c r="D91" s="179">
        <v>12</v>
      </c>
      <c r="E91" s="179">
        <v>12</v>
      </c>
      <c r="F91" s="180">
        <v>20</v>
      </c>
      <c r="G91" s="162">
        <v>8</v>
      </c>
      <c r="H91" s="344">
        <v>1.6666666666666667</v>
      </c>
      <c r="I91" s="167">
        <v>8</v>
      </c>
      <c r="J91" s="208">
        <v>1.6666666666666667</v>
      </c>
      <c r="K91" s="167"/>
      <c r="L91" s="167"/>
      <c r="M91" s="167"/>
      <c r="N91" s="167">
        <v>13</v>
      </c>
      <c r="O91" s="167">
        <v>-1</v>
      </c>
      <c r="P91" s="208">
        <v>0.9230769230769231</v>
      </c>
      <c r="Q91" s="167">
        <v>13</v>
      </c>
      <c r="R91" s="167">
        <v>7</v>
      </c>
      <c r="S91" s="208">
        <v>1.5384615384615385</v>
      </c>
      <c r="T91" s="157">
        <v>1</v>
      </c>
      <c r="U91" s="160">
        <v>4</v>
      </c>
      <c r="V91" s="167">
        <v>3</v>
      </c>
      <c r="W91" s="208">
        <v>4</v>
      </c>
      <c r="X91" s="327">
        <f t="shared" si="2"/>
        <v>0.6153846153846154</v>
      </c>
      <c r="Y91" s="403">
        <f t="shared" si="3"/>
        <v>0.6153846153846154</v>
      </c>
    </row>
    <row r="92" spans="2:25" ht="33">
      <c r="B92" s="28" t="s">
        <v>51</v>
      </c>
      <c r="C92" s="65"/>
      <c r="D92" s="182">
        <v>149048.45500000002</v>
      </c>
      <c r="E92" s="182">
        <v>149048.45500000002</v>
      </c>
      <c r="F92" s="183">
        <v>26407.67</v>
      </c>
      <c r="G92" s="184">
        <v>-122640.78500000002</v>
      </c>
      <c r="H92" s="347">
        <v>0.17717506699415297</v>
      </c>
      <c r="I92" s="186">
        <v>-122640.78500000002</v>
      </c>
      <c r="J92" s="213">
        <v>0.17717506699415297</v>
      </c>
      <c r="K92" s="186"/>
      <c r="L92" s="186"/>
      <c r="M92" s="186"/>
      <c r="N92" s="186">
        <v>27660.95</v>
      </c>
      <c r="O92" s="186">
        <v>121387.50500000002</v>
      </c>
      <c r="P92" s="213">
        <v>5.388406941916312</v>
      </c>
      <c r="Q92" s="186">
        <v>27660.95</v>
      </c>
      <c r="R92" s="167">
        <v>-1253.2800000000025</v>
      </c>
      <c r="S92" s="208">
        <v>0.9546913609257816</v>
      </c>
      <c r="T92" s="184">
        <v>4263.945</v>
      </c>
      <c r="U92" s="188">
        <v>1892.04</v>
      </c>
      <c r="V92" s="186">
        <v>-2371.9049999999997</v>
      </c>
      <c r="W92" s="213">
        <v>0.4437299261599294</v>
      </c>
      <c r="X92" s="327">
        <f t="shared" si="2"/>
        <v>-4.433715580990531</v>
      </c>
      <c r="Y92" s="403">
        <f t="shared" si="3"/>
        <v>-4.433715580990531</v>
      </c>
    </row>
    <row r="93" spans="2:25" ht="46.5">
      <c r="B93" s="12" t="s">
        <v>40</v>
      </c>
      <c r="C93" s="75">
        <v>24062100</v>
      </c>
      <c r="D93" s="179">
        <v>40</v>
      </c>
      <c r="E93" s="179">
        <v>40</v>
      </c>
      <c r="F93" s="180">
        <v>49.17</v>
      </c>
      <c r="G93" s="162">
        <v>9.170000000000002</v>
      </c>
      <c r="H93" s="344"/>
      <c r="I93" s="167">
        <v>9.170000000000002</v>
      </c>
      <c r="J93" s="208"/>
      <c r="K93" s="167"/>
      <c r="L93" s="167"/>
      <c r="M93" s="167"/>
      <c r="N93" s="167">
        <v>69.99</v>
      </c>
      <c r="O93" s="167">
        <v>-29.989999999999995</v>
      </c>
      <c r="P93" s="208">
        <v>0.5715102157451065</v>
      </c>
      <c r="Q93" s="167">
        <v>69.99</v>
      </c>
      <c r="R93" s="167">
        <v>-20.819999999999993</v>
      </c>
      <c r="S93" s="208">
        <v>0.7025289327046722</v>
      </c>
      <c r="T93" s="157">
        <v>6</v>
      </c>
      <c r="U93" s="160">
        <v>0</v>
      </c>
      <c r="V93" s="167">
        <v>-6</v>
      </c>
      <c r="W93" s="208"/>
      <c r="X93" s="327">
        <f t="shared" si="2"/>
        <v>0.13101871695956568</v>
      </c>
      <c r="Y93" s="403">
        <f t="shared" si="3"/>
        <v>0.13101871695956568</v>
      </c>
    </row>
    <row r="94" spans="2:25" ht="18" hidden="1">
      <c r="B94" s="233" t="s">
        <v>52</v>
      </c>
      <c r="C94" s="73">
        <v>24061600</v>
      </c>
      <c r="D94" s="179">
        <v>0</v>
      </c>
      <c r="E94" s="179">
        <v>0</v>
      </c>
      <c r="F94" s="180">
        <v>0</v>
      </c>
      <c r="G94" s="162">
        <v>0</v>
      </c>
      <c r="H94" s="344"/>
      <c r="I94" s="167">
        <v>0</v>
      </c>
      <c r="J94" s="355"/>
      <c r="K94" s="189"/>
      <c r="L94" s="189"/>
      <c r="M94" s="189"/>
      <c r="N94" s="189"/>
      <c r="O94" s="167">
        <v>0</v>
      </c>
      <c r="P94" s="208" t="e">
        <v>#DIV/0!</v>
      </c>
      <c r="Q94" s="167">
        <v>0</v>
      </c>
      <c r="R94" s="167">
        <v>0</v>
      </c>
      <c r="S94" s="208" t="e">
        <v>#DIV/0!</v>
      </c>
      <c r="T94" s="157">
        <v>0</v>
      </c>
      <c r="U94" s="160">
        <v>0</v>
      </c>
      <c r="V94" s="167">
        <v>0</v>
      </c>
      <c r="W94" s="355"/>
      <c r="X94" s="327" t="e">
        <f t="shared" si="2"/>
        <v>#DIV/0!</v>
      </c>
      <c r="Y94" s="403" t="e">
        <f t="shared" si="3"/>
        <v>#DIV/0!</v>
      </c>
    </row>
    <row r="95" spans="2:25" ht="18">
      <c r="B95" s="23" t="s">
        <v>46</v>
      </c>
      <c r="C95" s="73">
        <v>19010000</v>
      </c>
      <c r="D95" s="179">
        <v>8360</v>
      </c>
      <c r="E95" s="179">
        <v>8360</v>
      </c>
      <c r="F95" s="180">
        <v>8033.94</v>
      </c>
      <c r="G95" s="162">
        <v>-326.0600000000004</v>
      </c>
      <c r="H95" s="344">
        <v>0.9609976076555024</v>
      </c>
      <c r="I95" s="167">
        <v>-326.0600000000004</v>
      </c>
      <c r="J95" s="208">
        <v>0.9609976076555024</v>
      </c>
      <c r="K95" s="167"/>
      <c r="L95" s="167"/>
      <c r="M95" s="167"/>
      <c r="N95" s="167">
        <v>8352.68</v>
      </c>
      <c r="O95" s="167">
        <v>7.319999999999709</v>
      </c>
      <c r="P95" s="208">
        <v>1.0008763654300177</v>
      </c>
      <c r="Q95" s="167">
        <v>8352.68</v>
      </c>
      <c r="R95" s="167">
        <v>-318.7400000000007</v>
      </c>
      <c r="S95" s="208">
        <v>0.9618397927371812</v>
      </c>
      <c r="T95" s="157">
        <v>0.5</v>
      </c>
      <c r="U95" s="160">
        <v>0.9899999999997817</v>
      </c>
      <c r="V95" s="167">
        <v>0.4899999999997817</v>
      </c>
      <c r="W95" s="208">
        <v>1.9799999999995634</v>
      </c>
      <c r="X95" s="327">
        <f t="shared" si="2"/>
        <v>-0.039036572692836446</v>
      </c>
      <c r="Y95" s="403">
        <f t="shared" si="3"/>
        <v>-0.039036572692836446</v>
      </c>
    </row>
    <row r="96" spans="2:25" ht="31.5">
      <c r="B96" s="23" t="s">
        <v>50</v>
      </c>
      <c r="C96" s="73">
        <v>19050000</v>
      </c>
      <c r="D96" s="179">
        <v>0</v>
      </c>
      <c r="E96" s="179">
        <v>0</v>
      </c>
      <c r="F96" s="180">
        <v>0.1</v>
      </c>
      <c r="G96" s="162">
        <v>0.1</v>
      </c>
      <c r="H96" s="344"/>
      <c r="I96" s="167">
        <v>0.1</v>
      </c>
      <c r="J96" s="208"/>
      <c r="K96" s="167"/>
      <c r="L96" s="167"/>
      <c r="M96" s="167"/>
      <c r="N96" s="167">
        <v>1.48</v>
      </c>
      <c r="O96" s="167">
        <v>-1.48</v>
      </c>
      <c r="P96" s="208">
        <v>0</v>
      </c>
      <c r="Q96" s="167">
        <v>1.48</v>
      </c>
      <c r="R96" s="167">
        <v>-1.38</v>
      </c>
      <c r="S96" s="208">
        <v>0.06756756756756757</v>
      </c>
      <c r="T96" s="157">
        <v>0</v>
      </c>
      <c r="U96" s="160">
        <v>0</v>
      </c>
      <c r="V96" s="167">
        <v>0</v>
      </c>
      <c r="W96" s="355"/>
      <c r="X96" s="327">
        <f t="shared" si="2"/>
        <v>0.06756756756756757</v>
      </c>
      <c r="Y96" s="403">
        <f t="shared" si="3"/>
        <v>0.06756756756756757</v>
      </c>
    </row>
    <row r="97" spans="2:25" ht="30.75">
      <c r="B97" s="28" t="s">
        <v>47</v>
      </c>
      <c r="C97" s="73"/>
      <c r="D97" s="182">
        <v>8400</v>
      </c>
      <c r="E97" s="182">
        <v>8400</v>
      </c>
      <c r="F97" s="183">
        <v>8083.21</v>
      </c>
      <c r="G97" s="184">
        <v>-316.78999999999996</v>
      </c>
      <c r="H97" s="347">
        <v>0.9622869047619048</v>
      </c>
      <c r="I97" s="186">
        <v>-316.78999999999996</v>
      </c>
      <c r="J97" s="213">
        <v>0.9622869047619048</v>
      </c>
      <c r="K97" s="186"/>
      <c r="L97" s="186"/>
      <c r="M97" s="186"/>
      <c r="N97" s="186">
        <v>8424.15</v>
      </c>
      <c r="O97" s="186">
        <v>-24.149999999999636</v>
      </c>
      <c r="P97" s="213">
        <v>0.9971332419294529</v>
      </c>
      <c r="Q97" s="186">
        <v>8424.15</v>
      </c>
      <c r="R97" s="167">
        <v>-340.9399999999996</v>
      </c>
      <c r="S97" s="208">
        <v>0.9595282610114968</v>
      </c>
      <c r="T97" s="184">
        <v>6.5</v>
      </c>
      <c r="U97" s="188">
        <v>0.9899999999997817</v>
      </c>
      <c r="V97" s="186">
        <v>-5.510000000000218</v>
      </c>
      <c r="W97" s="213">
        <v>0.15230769230765873</v>
      </c>
      <c r="X97" s="327">
        <f t="shared" si="2"/>
        <v>-0.037604980917956055</v>
      </c>
      <c r="Y97" s="403">
        <f t="shared" si="3"/>
        <v>-0.037604980917956055</v>
      </c>
    </row>
    <row r="98" spans="2:25" ht="30.75">
      <c r="B98" s="12" t="s">
        <v>41</v>
      </c>
      <c r="C98" s="43">
        <v>24110900</v>
      </c>
      <c r="D98" s="179">
        <v>38</v>
      </c>
      <c r="E98" s="179">
        <v>38</v>
      </c>
      <c r="F98" s="180">
        <v>37.96</v>
      </c>
      <c r="G98" s="162">
        <v>-0.03999999999999915</v>
      </c>
      <c r="H98" s="344">
        <v>0.9989473684210527</v>
      </c>
      <c r="I98" s="167">
        <v>-0.03999999999999915</v>
      </c>
      <c r="J98" s="208">
        <v>0.9989473684210527</v>
      </c>
      <c r="K98" s="167"/>
      <c r="L98" s="167"/>
      <c r="M98" s="167"/>
      <c r="N98" s="167">
        <v>35.33</v>
      </c>
      <c r="O98" s="167">
        <v>2.6700000000000017</v>
      </c>
      <c r="P98" s="208">
        <v>1.075573167279932</v>
      </c>
      <c r="Q98" s="186">
        <v>35.33</v>
      </c>
      <c r="R98" s="167">
        <v>2.6300000000000026</v>
      </c>
      <c r="S98" s="208">
        <v>1.0744409849985848</v>
      </c>
      <c r="T98" s="157">
        <v>0</v>
      </c>
      <c r="U98" s="160">
        <v>8.93</v>
      </c>
      <c r="V98" s="167">
        <v>8.93</v>
      </c>
      <c r="W98" s="208" t="e">
        <v>#DIV/0!</v>
      </c>
      <c r="X98" s="327">
        <f t="shared" si="2"/>
        <v>-0.0011321822813472604</v>
      </c>
      <c r="Y98" s="403">
        <f t="shared" si="3"/>
        <v>-0.0011321822813472604</v>
      </c>
    </row>
    <row r="99" spans="2:25" ht="18" hidden="1">
      <c r="B99" s="122"/>
      <c r="C99" s="43">
        <v>21110000</v>
      </c>
      <c r="D99" s="179">
        <v>0</v>
      </c>
      <c r="E99" s="179">
        <v>0</v>
      </c>
      <c r="F99" s="180"/>
      <c r="G99" s="162" t="e">
        <v>#N/A</v>
      </c>
      <c r="H99" s="344"/>
      <c r="I99" s="167" t="e">
        <v>#N/A</v>
      </c>
      <c r="J99" s="208"/>
      <c r="K99" s="167"/>
      <c r="L99" s="167"/>
      <c r="M99" s="167"/>
      <c r="N99" s="167"/>
      <c r="O99" s="167"/>
      <c r="P99" s="208"/>
      <c r="Q99" s="167">
        <v>18.76</v>
      </c>
      <c r="R99" s="186" t="e">
        <v>#N/A</v>
      </c>
      <c r="S99" s="208">
        <v>0</v>
      </c>
      <c r="T99" s="164">
        <v>0</v>
      </c>
      <c r="U99" s="168">
        <v>0</v>
      </c>
      <c r="V99" s="167" t="e">
        <v>#N/A</v>
      </c>
      <c r="W99" s="208"/>
      <c r="X99" s="327">
        <f t="shared" si="2"/>
        <v>0</v>
      </c>
      <c r="Y99" s="403">
        <f t="shared" si="3"/>
        <v>0</v>
      </c>
    </row>
    <row r="100" spans="2:25" ht="23.25" customHeight="1">
      <c r="B100" s="272" t="s">
        <v>31</v>
      </c>
      <c r="C100" s="273"/>
      <c r="D100" s="274">
        <v>157486.45500000002</v>
      </c>
      <c r="E100" s="274">
        <v>157486.45500000002</v>
      </c>
      <c r="F100" s="274">
        <v>34561.78</v>
      </c>
      <c r="G100" s="275">
        <v>-122924.67500000002</v>
      </c>
      <c r="H100" s="348">
        <v>0.21945874646806923</v>
      </c>
      <c r="I100" s="268">
        <v>-122924.67500000002</v>
      </c>
      <c r="J100" s="269">
        <v>0.21945874646806923</v>
      </c>
      <c r="K100" s="268"/>
      <c r="L100" s="268"/>
      <c r="M100" s="268"/>
      <c r="N100" s="268">
        <v>36110.25</v>
      </c>
      <c r="O100" s="268">
        <v>121376.20500000002</v>
      </c>
      <c r="P100" s="269">
        <v>4.361267368683407</v>
      </c>
      <c r="Q100" s="274">
        <v>36110.25</v>
      </c>
      <c r="R100" s="268">
        <v>-1548.4700000000012</v>
      </c>
      <c r="S100" s="269">
        <v>0.9571182697433553</v>
      </c>
      <c r="T100" s="274">
        <v>4270.445</v>
      </c>
      <c r="U100" s="274">
        <v>1901.9599999999998</v>
      </c>
      <c r="V100" s="268">
        <v>-2368.4849999999997</v>
      </c>
      <c r="W100" s="269">
        <v>0.44537747237114633</v>
      </c>
      <c r="X100" s="327">
        <f>S100-P100</f>
        <v>-3.404149098940052</v>
      </c>
      <c r="Y100" s="404">
        <f t="shared" si="3"/>
        <v>-3.404149098940052</v>
      </c>
    </row>
    <row r="101" spans="2:25" ht="17.25">
      <c r="B101" s="276" t="s">
        <v>146</v>
      </c>
      <c r="C101" s="273"/>
      <c r="D101" s="274">
        <v>1556377.5550000002</v>
      </c>
      <c r="E101" s="274">
        <v>1556377.5550000002</v>
      </c>
      <c r="F101" s="274">
        <v>1433558.25</v>
      </c>
      <c r="G101" s="275">
        <v>-122819.30500000017</v>
      </c>
      <c r="H101" s="348">
        <v>0.9210864326554746</v>
      </c>
      <c r="I101" s="268">
        <v>-122819.30500000017</v>
      </c>
      <c r="J101" s="269">
        <v>0.9210864326554746</v>
      </c>
      <c r="K101" s="268"/>
      <c r="L101" s="268"/>
      <c r="M101" s="268"/>
      <c r="N101" s="268">
        <v>1089679.76</v>
      </c>
      <c r="O101" s="268">
        <v>466697.79500000016</v>
      </c>
      <c r="P101" s="269">
        <v>1.4282889451851433</v>
      </c>
      <c r="Q101" s="268">
        <v>1089679.76</v>
      </c>
      <c r="R101" s="268">
        <v>343878.49</v>
      </c>
      <c r="S101" s="269">
        <v>1.3155775693218346</v>
      </c>
      <c r="T101" s="275">
        <v>158404.24500000002</v>
      </c>
      <c r="U101" s="275">
        <v>131986.79000000012</v>
      </c>
      <c r="V101" s="268">
        <v>-26417.4549999999</v>
      </c>
      <c r="W101" s="269">
        <v>0.8332276070000529</v>
      </c>
      <c r="X101" s="327">
        <f>S101-P101</f>
        <v>-0.1127113758633087</v>
      </c>
      <c r="Y101" s="404">
        <f t="shared" si="3"/>
        <v>-0.1127113758633087</v>
      </c>
    </row>
    <row r="102" spans="2:25" ht="15" hidden="1">
      <c r="B102" s="20" t="s">
        <v>34</v>
      </c>
      <c r="U102" s="25"/>
      <c r="X102" s="327"/>
      <c r="Y102" s="403">
        <f t="shared" si="3"/>
        <v>0</v>
      </c>
    </row>
    <row r="103" spans="2:25" ht="15" hidden="1">
      <c r="B103" s="4" t="s">
        <v>36</v>
      </c>
      <c r="C103" s="76">
        <v>0</v>
      </c>
      <c r="D103" s="4" t="s">
        <v>35</v>
      </c>
      <c r="U103" s="78"/>
      <c r="X103" s="327"/>
      <c r="Y103" s="403">
        <f t="shared" si="3"/>
        <v>0</v>
      </c>
    </row>
    <row r="104" spans="2:25" ht="30.75" hidden="1">
      <c r="B104" s="52" t="s">
        <v>53</v>
      </c>
      <c r="C104" s="29" t="e">
        <v>#DIV/0!</v>
      </c>
      <c r="D104" s="4" t="s">
        <v>24</v>
      </c>
      <c r="G104" s="457"/>
      <c r="H104" s="457"/>
      <c r="I104" s="457"/>
      <c r="J104" s="457"/>
      <c r="K104" s="84"/>
      <c r="L104" s="84"/>
      <c r="M104" s="84"/>
      <c r="N104" s="84"/>
      <c r="O104" s="84"/>
      <c r="P104" s="307"/>
      <c r="Q104" s="84"/>
      <c r="R104" s="84"/>
      <c r="S104" s="84"/>
      <c r="W104" s="25"/>
      <c r="X104" s="327"/>
      <c r="Y104" s="403">
        <f t="shared" si="3"/>
        <v>0</v>
      </c>
    </row>
    <row r="105" spans="2:25" ht="34.5" customHeight="1" hidden="1">
      <c r="B105" s="53" t="s">
        <v>55</v>
      </c>
      <c r="C105" s="81">
        <v>43098</v>
      </c>
      <c r="D105" s="29">
        <v>2330.8</v>
      </c>
      <c r="G105" s="4" t="s">
        <v>58</v>
      </c>
      <c r="U105" s="445"/>
      <c r="V105" s="445"/>
      <c r="X105" s="327"/>
      <c r="Y105" s="403">
        <f t="shared" si="3"/>
        <v>0</v>
      </c>
    </row>
    <row r="106" spans="3:25" ht="15" hidden="1">
      <c r="C106" s="81">
        <v>43097</v>
      </c>
      <c r="D106" s="29">
        <v>15629.9</v>
      </c>
      <c r="G106" s="441"/>
      <c r="H106" s="441"/>
      <c r="I106" s="118"/>
      <c r="J106" s="265"/>
      <c r="K106" s="265"/>
      <c r="L106" s="265"/>
      <c r="M106" s="265"/>
      <c r="N106" s="265"/>
      <c r="O106" s="265"/>
      <c r="P106" s="308"/>
      <c r="Q106" s="265"/>
      <c r="R106" s="265"/>
      <c r="S106" s="265"/>
      <c r="T106" s="265"/>
      <c r="U106" s="445"/>
      <c r="V106" s="445"/>
      <c r="X106" s="327"/>
      <c r="Y106" s="403">
        <f t="shared" si="3"/>
        <v>0</v>
      </c>
    </row>
    <row r="107" spans="3:25" ht="15.75" customHeight="1" hidden="1">
      <c r="C107" s="81">
        <v>43096</v>
      </c>
      <c r="D107" s="29">
        <v>15417.7</v>
      </c>
      <c r="G107" s="441"/>
      <c r="H107" s="441"/>
      <c r="I107" s="118"/>
      <c r="J107" s="266"/>
      <c r="K107" s="266"/>
      <c r="L107" s="266"/>
      <c r="M107" s="266"/>
      <c r="N107" s="266"/>
      <c r="O107" s="266"/>
      <c r="P107" s="309"/>
      <c r="Q107" s="266"/>
      <c r="R107" s="266"/>
      <c r="S107" s="266"/>
      <c r="T107" s="266"/>
      <c r="U107" s="445"/>
      <c r="V107" s="445"/>
      <c r="X107" s="327"/>
      <c r="Y107" s="403">
        <f t="shared" si="3"/>
        <v>0</v>
      </c>
    </row>
    <row r="108" spans="3:25" ht="15.75" customHeight="1" hidden="1">
      <c r="C108" s="81"/>
      <c r="F108" s="68"/>
      <c r="G108" s="446"/>
      <c r="H108" s="446"/>
      <c r="I108" s="124"/>
      <c r="J108" s="265"/>
      <c r="K108" s="265"/>
      <c r="L108" s="265"/>
      <c r="M108" s="265"/>
      <c r="N108" s="265"/>
      <c r="O108" s="265"/>
      <c r="P108" s="308"/>
      <c r="Q108" s="265"/>
      <c r="R108" s="265"/>
      <c r="S108" s="265"/>
      <c r="T108" s="265"/>
      <c r="X108" s="327"/>
      <c r="Y108" s="403">
        <f t="shared" si="3"/>
        <v>0</v>
      </c>
    </row>
    <row r="109" spans="2:25" ht="18" customHeight="1" hidden="1">
      <c r="B109" s="439" t="s">
        <v>56</v>
      </c>
      <c r="C109" s="440"/>
      <c r="D109" s="133">
        <f>3396166.95/1000</f>
        <v>3396.1669500000003</v>
      </c>
      <c r="E109" s="69"/>
      <c r="F109" s="125" t="s">
        <v>107</v>
      </c>
      <c r="G109" s="441"/>
      <c r="H109" s="441"/>
      <c r="I109" s="126"/>
      <c r="J109" s="265"/>
      <c r="K109" s="265"/>
      <c r="L109" s="265"/>
      <c r="M109" s="265"/>
      <c r="N109" s="265"/>
      <c r="O109" s="265"/>
      <c r="P109" s="308"/>
      <c r="Q109" s="265"/>
      <c r="R109" s="265"/>
      <c r="S109" s="265"/>
      <c r="T109" s="265"/>
      <c r="X109" s="327"/>
      <c r="Y109" s="403">
        <f t="shared" si="3"/>
        <v>0</v>
      </c>
    </row>
    <row r="110" spans="6:25" ht="9.75" customHeight="1" hidden="1">
      <c r="F110" s="68"/>
      <c r="G110" s="441"/>
      <c r="H110" s="441"/>
      <c r="I110" s="68"/>
      <c r="J110" s="69"/>
      <c r="K110" s="69"/>
      <c r="L110" s="69"/>
      <c r="M110" s="69"/>
      <c r="N110" s="69"/>
      <c r="O110" s="69"/>
      <c r="P110" s="310"/>
      <c r="Q110" s="69"/>
      <c r="R110" s="69"/>
      <c r="S110" s="69"/>
      <c r="X110" s="327"/>
      <c r="Y110" s="403">
        <f t="shared" si="3"/>
        <v>0</v>
      </c>
    </row>
    <row r="111" spans="2:25" ht="22.5" customHeight="1" hidden="1">
      <c r="B111" s="442" t="s">
        <v>59</v>
      </c>
      <c r="C111" s="443"/>
      <c r="D111" s="80">
        <v>0</v>
      </c>
      <c r="E111" s="51" t="s">
        <v>24</v>
      </c>
      <c r="F111" s="68"/>
      <c r="G111" s="441"/>
      <c r="H111" s="441"/>
      <c r="I111" s="68"/>
      <c r="J111" s="69"/>
      <c r="K111" s="69"/>
      <c r="L111" s="69"/>
      <c r="M111" s="69"/>
      <c r="N111" s="69"/>
      <c r="O111" s="69"/>
      <c r="P111" s="310"/>
      <c r="Q111" s="367"/>
      <c r="R111" s="367"/>
      <c r="S111" s="367"/>
      <c r="T111" s="3"/>
      <c r="U111" s="3"/>
      <c r="V111" s="3"/>
      <c r="W111" s="3"/>
      <c r="X111" s="327"/>
      <c r="Y111" s="403">
        <f t="shared" si="3"/>
        <v>0</v>
      </c>
    </row>
    <row r="112" spans="2:25" ht="15" hidden="1">
      <c r="B112" s="261" t="s">
        <v>149</v>
      </c>
      <c r="D112" s="68">
        <v>1887</v>
      </c>
      <c r="E112" s="68">
        <v>1887</v>
      </c>
      <c r="F112" s="202">
        <v>1956.6200000000001</v>
      </c>
      <c r="G112" s="68">
        <v>69.62000000000006</v>
      </c>
      <c r="H112" s="69"/>
      <c r="I112" s="69"/>
      <c r="Q112" s="3"/>
      <c r="R112" s="3"/>
      <c r="S112" s="3"/>
      <c r="T112" s="113"/>
      <c r="U112" s="113"/>
      <c r="V112" s="113"/>
      <c r="W112" s="3"/>
      <c r="X112" s="327"/>
      <c r="Y112" s="403">
        <f t="shared" si="3"/>
        <v>0</v>
      </c>
    </row>
    <row r="113" spans="4:25" ht="15" hidden="1">
      <c r="D113" s="78"/>
      <c r="I113" s="29"/>
      <c r="Q113" s="3"/>
      <c r="R113" s="3"/>
      <c r="S113" s="3"/>
      <c r="T113" s="3"/>
      <c r="U113" s="444"/>
      <c r="V113" s="444"/>
      <c r="W113" s="3"/>
      <c r="X113" s="327"/>
      <c r="Y113" s="403">
        <f t="shared" si="3"/>
        <v>0</v>
      </c>
    </row>
    <row r="114" spans="2:25" ht="15" hidden="1">
      <c r="B114" s="4" t="s">
        <v>118</v>
      </c>
      <c r="D114" s="29">
        <v>1333609.6</v>
      </c>
      <c r="E114" s="29">
        <v>1333609.6</v>
      </c>
      <c r="F114" s="228">
        <v>1332268.81</v>
      </c>
      <c r="G114" s="29">
        <v>-1340.7900000000373</v>
      </c>
      <c r="H114" s="229">
        <v>0.998994615815603</v>
      </c>
      <c r="I114" s="29">
        <v>-1340.7900000000373</v>
      </c>
      <c r="J114" s="229">
        <v>0.998994615815603</v>
      </c>
      <c r="K114" s="229"/>
      <c r="L114" s="229"/>
      <c r="M114" s="229"/>
      <c r="N114" s="229"/>
      <c r="O114" s="229"/>
      <c r="Q114" s="3"/>
      <c r="R114" s="3"/>
      <c r="S114" s="3"/>
      <c r="T114" s="113"/>
      <c r="U114" s="113"/>
      <c r="V114" s="113"/>
      <c r="W114" s="398"/>
      <c r="X114" s="327"/>
      <c r="Y114" s="403">
        <f t="shared" si="3"/>
        <v>0</v>
      </c>
    </row>
    <row r="115" spans="2:25" ht="15" hidden="1">
      <c r="B115" s="4" t="s">
        <v>119</v>
      </c>
      <c r="D115" s="29">
        <v>65258.5</v>
      </c>
      <c r="E115" s="29">
        <v>65258.5</v>
      </c>
      <c r="F115" s="228">
        <v>66703.79</v>
      </c>
      <c r="G115" s="29">
        <v>1450.1500000000003</v>
      </c>
      <c r="H115" s="229">
        <v>1.0221471532444049</v>
      </c>
      <c r="I115" s="29">
        <v>1450.1500000000003</v>
      </c>
      <c r="J115" s="229">
        <v>1.0221471532444049</v>
      </c>
      <c r="K115" s="229"/>
      <c r="L115" s="229"/>
      <c r="M115" s="229"/>
      <c r="N115" s="229"/>
      <c r="O115" s="229"/>
      <c r="Q115" s="113"/>
      <c r="R115" s="113"/>
      <c r="S115" s="113"/>
      <c r="T115" s="113"/>
      <c r="U115" s="113"/>
      <c r="V115" s="113"/>
      <c r="W115" s="398"/>
      <c r="X115" s="327"/>
      <c r="Y115" s="403">
        <f t="shared" si="3"/>
        <v>0</v>
      </c>
    </row>
    <row r="116" spans="2:25" ht="15" hidden="1">
      <c r="B116" s="4" t="s">
        <v>120</v>
      </c>
      <c r="D116" s="29">
        <v>1398868.1</v>
      </c>
      <c r="E116" s="29">
        <v>1398868.1</v>
      </c>
      <c r="F116" s="29">
        <v>1398972.6</v>
      </c>
      <c r="G116" s="29">
        <v>109.35999999996307</v>
      </c>
      <c r="H116" s="229">
        <v>1.0000747032547244</v>
      </c>
      <c r="I116" s="29">
        <v>109.35999999996307</v>
      </c>
      <c r="J116" s="229">
        <v>1.0000747032547244</v>
      </c>
      <c r="K116" s="229"/>
      <c r="L116" s="229"/>
      <c r="M116" s="229"/>
      <c r="N116" s="229"/>
      <c r="O116" s="229"/>
      <c r="Q116" s="113"/>
      <c r="R116" s="113"/>
      <c r="S116" s="113"/>
      <c r="T116" s="113"/>
      <c r="U116" s="113"/>
      <c r="V116" s="113"/>
      <c r="W116" s="398"/>
      <c r="X116" s="327"/>
      <c r="Y116" s="403">
        <f t="shared" si="3"/>
        <v>0</v>
      </c>
    </row>
    <row r="117" spans="4:25" ht="15" hidden="1">
      <c r="D117" s="29">
        <v>23</v>
      </c>
      <c r="E117" s="29" t="e">
        <v>#N/A</v>
      </c>
      <c r="F117" s="29" t="e">
        <v>#N/A</v>
      </c>
      <c r="G117" s="29" t="e">
        <v>#N/A</v>
      </c>
      <c r="H117" s="229"/>
      <c r="I117" s="29" t="e">
        <v>#N/A</v>
      </c>
      <c r="J117" s="229"/>
      <c r="K117" s="229"/>
      <c r="L117" s="229"/>
      <c r="M117" s="229"/>
      <c r="N117" s="229"/>
      <c r="O117" s="229"/>
      <c r="Q117" s="113"/>
      <c r="R117" s="113"/>
      <c r="S117" s="113"/>
      <c r="T117" s="113"/>
      <c r="U117" s="113"/>
      <c r="V117" s="113"/>
      <c r="W117" s="113"/>
      <c r="X117" s="327"/>
      <c r="Y117" s="403">
        <f t="shared" si="3"/>
        <v>0</v>
      </c>
    </row>
    <row r="118" spans="5:25" ht="15" hidden="1">
      <c r="E118" s="4" t="s">
        <v>58</v>
      </c>
      <c r="Q118" s="3"/>
      <c r="R118" s="3"/>
      <c r="S118" s="3"/>
      <c r="T118" s="3"/>
      <c r="U118" s="3"/>
      <c r="V118" s="3"/>
      <c r="W118" s="3"/>
      <c r="X118" s="327"/>
      <c r="Y118" s="403">
        <f t="shared" si="3"/>
        <v>0</v>
      </c>
    </row>
    <row r="119" spans="2:25" ht="15" hidden="1">
      <c r="B119" s="242" t="s">
        <v>140</v>
      </c>
      <c r="E119" s="29">
        <v>157106.5000000001</v>
      </c>
      <c r="X119" s="327"/>
      <c r="Y119" s="403">
        <f t="shared" si="3"/>
        <v>0</v>
      </c>
    </row>
    <row r="120" spans="2:25" ht="15" hidden="1">
      <c r="B120" s="242" t="s">
        <v>141</v>
      </c>
      <c r="E120" s="29">
        <v>79090</v>
      </c>
      <c r="X120" s="327"/>
      <c r="Y120" s="403">
        <f t="shared" si="3"/>
        <v>0</v>
      </c>
    </row>
    <row r="121" spans="24:25" ht="15" hidden="1">
      <c r="X121" s="327"/>
      <c r="Y121" s="403">
        <f t="shared" si="3"/>
        <v>0</v>
      </c>
    </row>
    <row r="122" spans="2:25" ht="18" hidden="1">
      <c r="B122" s="122" t="s">
        <v>136</v>
      </c>
      <c r="C122" s="43">
        <v>25000000</v>
      </c>
      <c r="D122" s="179">
        <v>72408.22</v>
      </c>
      <c r="E122" s="179">
        <v>18102.06</v>
      </c>
      <c r="F122" s="180">
        <v>20254.32</v>
      </c>
      <c r="G122" s="162">
        <v>2152.2599999999984</v>
      </c>
      <c r="H122" s="164">
        <v>111.88958604711286</v>
      </c>
      <c r="I122" s="167">
        <v>-52153.9</v>
      </c>
      <c r="J122" s="167">
        <v>27.972404238082362</v>
      </c>
      <c r="K122" s="167"/>
      <c r="L122" s="167"/>
      <c r="M122" s="167"/>
      <c r="N122" s="167"/>
      <c r="O122" s="167"/>
      <c r="P122" s="208"/>
      <c r="Q122" s="167"/>
      <c r="R122" s="167"/>
      <c r="S122" s="250"/>
      <c r="T122" s="248"/>
      <c r="U122" s="248"/>
      <c r="V122" s="249"/>
      <c r="W122" s="249"/>
      <c r="X122" s="327"/>
      <c r="Y122" s="403">
        <f t="shared" si="3"/>
        <v>0</v>
      </c>
    </row>
    <row r="123" spans="2:25" ht="23.25" customHeight="1" hidden="1">
      <c r="B123" s="14" t="s">
        <v>31</v>
      </c>
      <c r="C123" s="66"/>
      <c r="D123" s="190">
        <v>229894.67500000002</v>
      </c>
      <c r="E123" s="190">
        <v>175588.515</v>
      </c>
      <c r="F123" s="190">
        <v>54816.1</v>
      </c>
      <c r="G123" s="191">
        <v>-120772.41500000001</v>
      </c>
      <c r="H123" s="192">
        <v>31.218499683763483</v>
      </c>
      <c r="I123" s="193">
        <v>-175078.575</v>
      </c>
      <c r="J123" s="193">
        <v>23.844005956205812</v>
      </c>
      <c r="K123" s="193"/>
      <c r="L123" s="193"/>
      <c r="M123" s="193"/>
      <c r="N123" s="193"/>
      <c r="O123" s="193"/>
      <c r="P123" s="220"/>
      <c r="Q123" s="193">
        <v>3039.87</v>
      </c>
      <c r="R123" s="193">
        <v>51776.229999999996</v>
      </c>
      <c r="S123" s="251">
        <v>18.03238296374516</v>
      </c>
      <c r="T123" s="252"/>
      <c r="U123" s="252"/>
      <c r="V123" s="253"/>
      <c r="W123" s="253"/>
      <c r="X123" s="327"/>
      <c r="Y123" s="403">
        <f t="shared" si="3"/>
        <v>18.03238296374516</v>
      </c>
    </row>
    <row r="124" spans="2:25" ht="17.25" hidden="1">
      <c r="B124" s="21" t="s">
        <v>145</v>
      </c>
      <c r="C124" s="66"/>
      <c r="D124" s="190">
        <v>1628785.7750000001</v>
      </c>
      <c r="E124" s="190">
        <v>1574479.6150000002</v>
      </c>
      <c r="F124" s="190">
        <v>1453812.57</v>
      </c>
      <c r="G124" s="191">
        <v>-120667.04500000016</v>
      </c>
      <c r="H124" s="192">
        <v>92.33606813004053</v>
      </c>
      <c r="I124" s="193">
        <v>-174973.20500000007</v>
      </c>
      <c r="J124" s="193">
        <v>89.25744516647684</v>
      </c>
      <c r="K124" s="193"/>
      <c r="L124" s="193"/>
      <c r="M124" s="193"/>
      <c r="N124" s="193"/>
      <c r="O124" s="193"/>
      <c r="P124" s="220"/>
      <c r="Q124" s="193">
        <v>1092719.6300000001</v>
      </c>
      <c r="R124" s="193">
        <v>361092.93999999994</v>
      </c>
      <c r="S124" s="251">
        <v>1.3304534210664816</v>
      </c>
      <c r="T124" s="254"/>
      <c r="U124" s="254"/>
      <c r="V124" s="253"/>
      <c r="W124" s="253"/>
      <c r="X124" s="327"/>
      <c r="Y124" s="403">
        <f t="shared" si="3"/>
        <v>1.3304534210664816</v>
      </c>
    </row>
    <row r="125" spans="2:25" ht="15" hidden="1">
      <c r="B125" s="238" t="s">
        <v>147</v>
      </c>
      <c r="C125" s="236">
        <v>40000000</v>
      </c>
      <c r="D125" s="241" t="e">
        <v>#N/A</v>
      </c>
      <c r="E125" s="241" t="e">
        <v>#N/A</v>
      </c>
      <c r="F125" s="241" t="e">
        <v>#N/A</v>
      </c>
      <c r="G125" s="241" t="e">
        <v>#N/A</v>
      </c>
      <c r="H125" s="241" t="e">
        <v>#N/A</v>
      </c>
      <c r="I125" s="36" t="e">
        <v>#N/A</v>
      </c>
      <c r="J125" s="36" t="e">
        <v>#N/A</v>
      </c>
      <c r="K125" s="278"/>
      <c r="L125" s="278"/>
      <c r="M125" s="278"/>
      <c r="N125" s="278"/>
      <c r="O125" s="278"/>
      <c r="P125" s="311"/>
      <c r="W125" s="89"/>
      <c r="X125" s="327"/>
      <c r="Y125" s="403">
        <f t="shared" si="3"/>
        <v>0</v>
      </c>
    </row>
    <row r="126" spans="2:25" ht="26.25" hidden="1">
      <c r="B126" s="237" t="s">
        <v>138</v>
      </c>
      <c r="C126" s="236">
        <v>41033900</v>
      </c>
      <c r="D126" s="241">
        <v>243334.5</v>
      </c>
      <c r="E126" s="241">
        <v>56191.6</v>
      </c>
      <c r="F126" s="241">
        <v>56191.6</v>
      </c>
      <c r="G126" s="241" t="e">
        <v>#N/A</v>
      </c>
      <c r="H126" s="241" t="e">
        <v>#N/A</v>
      </c>
      <c r="I126" s="36" t="e">
        <v>#N/A</v>
      </c>
      <c r="J126" s="36" t="e">
        <v>#N/A</v>
      </c>
      <c r="K126" s="278"/>
      <c r="L126" s="278"/>
      <c r="M126" s="278"/>
      <c r="N126" s="278"/>
      <c r="O126" s="278"/>
      <c r="P126" s="311"/>
      <c r="W126" s="89"/>
      <c r="X126" s="327"/>
      <c r="Y126" s="403">
        <f t="shared" si="3"/>
        <v>0</v>
      </c>
    </row>
    <row r="127" spans="2:25" ht="26.25" hidden="1">
      <c r="B127" s="237" t="s">
        <v>139</v>
      </c>
      <c r="C127" s="236">
        <v>41034200</v>
      </c>
      <c r="D127" s="241">
        <v>238249.5</v>
      </c>
      <c r="E127" s="241">
        <v>59541.9</v>
      </c>
      <c r="F127" s="241">
        <v>59541.9</v>
      </c>
      <c r="G127" s="241" t="e">
        <v>#N/A</v>
      </c>
      <c r="H127" s="241" t="e">
        <v>#N/A</v>
      </c>
      <c r="I127" s="36" t="e">
        <v>#N/A</v>
      </c>
      <c r="J127" s="36" t="e">
        <v>#N/A</v>
      </c>
      <c r="K127" s="278"/>
      <c r="L127" s="278"/>
      <c r="M127" s="278"/>
      <c r="N127" s="278"/>
      <c r="O127" s="278"/>
      <c r="P127" s="311"/>
      <c r="W127" s="89"/>
      <c r="X127" s="327"/>
      <c r="Y127" s="403">
        <f t="shared" si="3"/>
        <v>0</v>
      </c>
    </row>
    <row r="128" spans="2:25" s="239" customFormat="1" ht="25.5" customHeight="1" hidden="1">
      <c r="B128" s="255" t="s">
        <v>137</v>
      </c>
      <c r="C128" s="256"/>
      <c r="D128" s="257" t="e">
        <v>#N/A</v>
      </c>
      <c r="E128" s="257" t="e">
        <v>#N/A</v>
      </c>
      <c r="F128" s="257" t="e">
        <v>#N/A</v>
      </c>
      <c r="G128" s="258" t="e">
        <v>#N/A</v>
      </c>
      <c r="H128" s="257" t="e">
        <v>#N/A</v>
      </c>
      <c r="I128" s="259" t="e">
        <v>#N/A</v>
      </c>
      <c r="J128" s="259" t="e">
        <v>#N/A</v>
      </c>
      <c r="K128" s="279"/>
      <c r="L128" s="279"/>
      <c r="M128" s="279"/>
      <c r="N128" s="279"/>
      <c r="O128" s="279"/>
      <c r="P128" s="312"/>
      <c r="W128" s="240"/>
      <c r="X128" s="327"/>
      <c r="Y128" s="403">
        <f t="shared" si="3"/>
        <v>0</v>
      </c>
    </row>
    <row r="129" spans="24:25" ht="15" hidden="1">
      <c r="X129" s="327"/>
      <c r="Y129" s="403">
        <f t="shared" si="3"/>
        <v>0</v>
      </c>
    </row>
    <row r="130" spans="24:25" ht="15" hidden="1">
      <c r="X130" s="327"/>
      <c r="Y130" s="403">
        <f t="shared" si="3"/>
        <v>0</v>
      </c>
    </row>
    <row r="131" spans="24:25" ht="15" hidden="1">
      <c r="X131" s="327"/>
      <c r="Y131" s="403">
        <f t="shared" si="3"/>
        <v>0</v>
      </c>
    </row>
    <row r="132" spans="24:25" ht="15" hidden="1">
      <c r="X132" s="327"/>
      <c r="Y132" s="403">
        <f t="shared" si="3"/>
        <v>0</v>
      </c>
    </row>
    <row r="133" spans="24:25" ht="15" hidden="1">
      <c r="X133" s="327"/>
      <c r="Y133" s="403">
        <f t="shared" si="3"/>
        <v>0</v>
      </c>
    </row>
    <row r="134" spans="24:25" ht="15">
      <c r="X134" s="327"/>
      <c r="Y134" s="403"/>
    </row>
    <row r="135" spans="2:25" ht="15">
      <c r="B135" s="324" t="s">
        <v>173</v>
      </c>
      <c r="X135" s="327"/>
      <c r="Y135" s="403"/>
    </row>
    <row r="136" spans="1:25" s="6" customFormat="1" ht="30.75" customHeight="1">
      <c r="A136" s="8"/>
      <c r="B136" s="315" t="s">
        <v>176</v>
      </c>
      <c r="C136" s="360">
        <v>13010200</v>
      </c>
      <c r="D136" s="376">
        <v>0</v>
      </c>
      <c r="E136" s="376">
        <v>0</v>
      </c>
      <c r="F136" s="378">
        <v>0.49</v>
      </c>
      <c r="G136" s="376">
        <v>0.49</v>
      </c>
      <c r="H136" s="387">
        <v>0</v>
      </c>
      <c r="I136" s="386">
        <v>0.49</v>
      </c>
      <c r="J136" s="387">
        <v>0</v>
      </c>
      <c r="K136" s="224">
        <v>0</v>
      </c>
      <c r="L136" s="224">
        <v>0</v>
      </c>
      <c r="M136" s="224">
        <v>0</v>
      </c>
      <c r="N136" s="386">
        <v>0.17</v>
      </c>
      <c r="O136" s="386">
        <v>-0.17</v>
      </c>
      <c r="P136" s="387">
        <v>0</v>
      </c>
      <c r="Q136" s="386">
        <v>0.17</v>
      </c>
      <c r="R136" s="385">
        <v>0.31999999999999995</v>
      </c>
      <c r="S136" s="387">
        <v>2.88235294117647</v>
      </c>
      <c r="T136" s="363"/>
      <c r="U136" s="363"/>
      <c r="V136" s="363"/>
      <c r="W136" s="363"/>
      <c r="X136" s="327">
        <f aca="true" t="shared" si="4" ref="X136:X145">S136-P136</f>
        <v>2.88235294117647</v>
      </c>
      <c r="Y136" s="403">
        <f t="shared" si="3"/>
        <v>2.88235294117647</v>
      </c>
    </row>
    <row r="137" spans="1:25" s="6" customFormat="1" ht="30.75">
      <c r="A137" s="8"/>
      <c r="B137" s="316" t="s">
        <v>177</v>
      </c>
      <c r="C137" s="360">
        <v>13030200</v>
      </c>
      <c r="D137" s="376">
        <v>220</v>
      </c>
      <c r="E137" s="376">
        <v>220</v>
      </c>
      <c r="F137" s="378">
        <v>220.59</v>
      </c>
      <c r="G137" s="376">
        <v>0.5900000000000034</v>
      </c>
      <c r="H137" s="387">
        <v>1.0026818181818182</v>
      </c>
      <c r="I137" s="376">
        <v>0.5900000000000034</v>
      </c>
      <c r="J137" s="387">
        <v>100.26818181818183</v>
      </c>
      <c r="K137" s="130">
        <v>0</v>
      </c>
      <c r="L137" s="130">
        <v>0</v>
      </c>
      <c r="M137" s="130">
        <v>0</v>
      </c>
      <c r="N137" s="386">
        <v>124.7</v>
      </c>
      <c r="O137" s="386">
        <v>95.3</v>
      </c>
      <c r="P137" s="387">
        <v>1.764234161988773</v>
      </c>
      <c r="Q137" s="386">
        <v>124.7</v>
      </c>
      <c r="R137" s="385">
        <v>95.89</v>
      </c>
      <c r="S137" s="387">
        <v>1.7689655172413794</v>
      </c>
      <c r="T137" s="364"/>
      <c r="U137" s="364"/>
      <c r="V137" s="364"/>
      <c r="W137" s="364"/>
      <c r="X137" s="327">
        <f t="shared" si="4"/>
        <v>0.004731355252606484</v>
      </c>
      <c r="Y137" s="403">
        <f aca="true" t="shared" si="5" ref="Y137:Y159">S137-P137</f>
        <v>0.004731355252606484</v>
      </c>
    </row>
    <row r="138" spans="1:25" s="6" customFormat="1" ht="15">
      <c r="A138" s="8"/>
      <c r="B138" s="317" t="s">
        <v>61</v>
      </c>
      <c r="C138" s="361">
        <v>21080500</v>
      </c>
      <c r="D138" s="379">
        <v>40</v>
      </c>
      <c r="E138" s="379">
        <v>40</v>
      </c>
      <c r="F138" s="380">
        <v>153.3</v>
      </c>
      <c r="G138" s="379">
        <v>113.30000000000001</v>
      </c>
      <c r="H138" s="388">
        <v>3.8325000000000005</v>
      </c>
      <c r="I138" s="385">
        <v>113.30000000000001</v>
      </c>
      <c r="J138" s="388">
        <v>3.8325000000000005</v>
      </c>
      <c r="K138" s="129">
        <v>0</v>
      </c>
      <c r="L138" s="129">
        <v>0</v>
      </c>
      <c r="M138" s="129">
        <v>0</v>
      </c>
      <c r="N138" s="385">
        <v>31.98</v>
      </c>
      <c r="O138" s="385">
        <v>8.02</v>
      </c>
      <c r="P138" s="388">
        <v>1.2507817385866167</v>
      </c>
      <c r="Q138" s="385">
        <v>31.98</v>
      </c>
      <c r="R138" s="385">
        <v>121.32000000000001</v>
      </c>
      <c r="S138" s="387">
        <v>4.793621013133208</v>
      </c>
      <c r="T138" s="363"/>
      <c r="U138" s="363"/>
      <c r="V138" s="363"/>
      <c r="W138" s="363"/>
      <c r="X138" s="327">
        <f t="shared" si="4"/>
        <v>3.5428392745465915</v>
      </c>
      <c r="Y138" s="403">
        <f t="shared" si="5"/>
        <v>3.5428392745465915</v>
      </c>
    </row>
    <row r="139" spans="1:25" s="6" customFormat="1" ht="30.75">
      <c r="A139" s="8"/>
      <c r="B139" s="318" t="s">
        <v>39</v>
      </c>
      <c r="C139" s="362">
        <v>21080900</v>
      </c>
      <c r="D139" s="381">
        <v>13</v>
      </c>
      <c r="E139" s="381">
        <v>13</v>
      </c>
      <c r="F139" s="382">
        <v>12.95</v>
      </c>
      <c r="G139" s="381">
        <v>-0.05000000000000071</v>
      </c>
      <c r="H139" s="389">
        <v>0.9961538461538461</v>
      </c>
      <c r="I139" s="381">
        <v>-0.05000000000000071</v>
      </c>
      <c r="J139" s="389">
        <v>0.9961538461538461</v>
      </c>
      <c r="K139" s="235">
        <v>0</v>
      </c>
      <c r="L139" s="235">
        <v>0</v>
      </c>
      <c r="M139" s="235">
        <v>0</v>
      </c>
      <c r="N139" s="390">
        <v>0.1</v>
      </c>
      <c r="O139" s="390">
        <v>12.9</v>
      </c>
      <c r="P139" s="389">
        <v>130</v>
      </c>
      <c r="Q139" s="390">
        <v>0.1</v>
      </c>
      <c r="R139" s="390">
        <v>12.85</v>
      </c>
      <c r="S139" s="394">
        <v>0</v>
      </c>
      <c r="T139" s="365"/>
      <c r="U139" s="365"/>
      <c r="V139" s="365"/>
      <c r="W139" s="365"/>
      <c r="X139" s="327">
        <f t="shared" si="4"/>
        <v>-130</v>
      </c>
      <c r="Y139" s="403">
        <f t="shared" si="5"/>
        <v>-130</v>
      </c>
    </row>
    <row r="140" spans="1:25" s="6" customFormat="1" ht="15">
      <c r="A140" s="8"/>
      <c r="B140" s="316" t="s">
        <v>16</v>
      </c>
      <c r="C140" s="360">
        <v>21081100</v>
      </c>
      <c r="D140" s="376">
        <v>660</v>
      </c>
      <c r="E140" s="376">
        <v>660</v>
      </c>
      <c r="F140" s="378">
        <v>705.31</v>
      </c>
      <c r="G140" s="376">
        <v>45.309999999999945</v>
      </c>
      <c r="H140" s="387">
        <v>1.068651515151515</v>
      </c>
      <c r="I140" s="376">
        <v>45.309999999999945</v>
      </c>
      <c r="J140" s="387">
        <v>1.068651515151515</v>
      </c>
      <c r="K140" s="130">
        <v>0</v>
      </c>
      <c r="L140" s="130">
        <v>0</v>
      </c>
      <c r="M140" s="130">
        <v>0</v>
      </c>
      <c r="N140" s="386">
        <v>241.07</v>
      </c>
      <c r="O140" s="386">
        <v>418.93</v>
      </c>
      <c r="P140" s="387">
        <v>2.7377940017422326</v>
      </c>
      <c r="Q140" s="386">
        <v>241.07</v>
      </c>
      <c r="R140" s="385">
        <v>464.23999999999995</v>
      </c>
      <c r="S140" s="387">
        <v>2.9257477081345664</v>
      </c>
      <c r="T140" s="364"/>
      <c r="U140" s="364"/>
      <c r="V140" s="364"/>
      <c r="W140" s="364"/>
      <c r="X140" s="327">
        <f t="shared" si="4"/>
        <v>0.18795370639233377</v>
      </c>
      <c r="Y140" s="403">
        <f t="shared" si="5"/>
        <v>0.18795370639233377</v>
      </c>
    </row>
    <row r="141" spans="1:25" s="6" customFormat="1" ht="46.5">
      <c r="A141" s="8"/>
      <c r="B141" s="316" t="s">
        <v>80</v>
      </c>
      <c r="C141" s="360">
        <v>21081500</v>
      </c>
      <c r="D141" s="376">
        <v>97.5</v>
      </c>
      <c r="E141" s="376">
        <v>97.5</v>
      </c>
      <c r="F141" s="378">
        <v>114.3</v>
      </c>
      <c r="G141" s="376">
        <v>16.799999999999997</v>
      </c>
      <c r="H141" s="387">
        <v>1.1723076923076923</v>
      </c>
      <c r="I141" s="376">
        <v>16.799999999999997</v>
      </c>
      <c r="J141" s="387">
        <v>1.1723076923076923</v>
      </c>
      <c r="K141" s="130">
        <v>0</v>
      </c>
      <c r="L141" s="130">
        <v>0</v>
      </c>
      <c r="M141" s="130">
        <v>0</v>
      </c>
      <c r="N141" s="386">
        <v>86.37</v>
      </c>
      <c r="O141" s="386">
        <v>11.129999999999995</v>
      </c>
      <c r="P141" s="387">
        <v>1.1288641889544981</v>
      </c>
      <c r="Q141" s="386">
        <v>86.37</v>
      </c>
      <c r="R141" s="385">
        <v>27.929999999999993</v>
      </c>
      <c r="S141" s="387">
        <v>1.3233761722820423</v>
      </c>
      <c r="T141" s="364"/>
      <c r="U141" s="364"/>
      <c r="V141" s="364"/>
      <c r="W141" s="364"/>
      <c r="X141" s="327">
        <f t="shared" si="4"/>
        <v>0.19451198332754416</v>
      </c>
      <c r="Y141" s="403">
        <f t="shared" si="5"/>
        <v>0.19451198332754416</v>
      </c>
    </row>
    <row r="142" spans="1:25" s="6" customFormat="1" ht="46.5">
      <c r="A142" s="8"/>
      <c r="B142" s="316" t="s">
        <v>17</v>
      </c>
      <c r="C142" s="360" t="s">
        <v>18</v>
      </c>
      <c r="D142" s="376">
        <v>2.5</v>
      </c>
      <c r="E142" s="376">
        <v>2.5</v>
      </c>
      <c r="F142" s="378">
        <v>2.04</v>
      </c>
      <c r="G142" s="376">
        <v>-0.45999999999999996</v>
      </c>
      <c r="H142" s="387">
        <v>0.8160000000000001</v>
      </c>
      <c r="I142" s="376">
        <v>-0.45999999999999996</v>
      </c>
      <c r="J142" s="387">
        <v>0.8160000000000001</v>
      </c>
      <c r="K142" s="130">
        <v>0</v>
      </c>
      <c r="L142" s="130">
        <v>0</v>
      </c>
      <c r="M142" s="130">
        <v>0</v>
      </c>
      <c r="N142" s="386">
        <v>2.46</v>
      </c>
      <c r="O142" s="386">
        <v>0.040000000000000036</v>
      </c>
      <c r="P142" s="387">
        <v>1.016260162601626</v>
      </c>
      <c r="Q142" s="386">
        <v>2.46</v>
      </c>
      <c r="R142" s="385">
        <v>-0.41999999999999993</v>
      </c>
      <c r="S142" s="387">
        <v>0.8292682926829269</v>
      </c>
      <c r="T142" s="364"/>
      <c r="U142" s="364"/>
      <c r="V142" s="364"/>
      <c r="W142" s="364"/>
      <c r="X142" s="327">
        <f t="shared" si="4"/>
        <v>-0.1869918699186992</v>
      </c>
      <c r="Y142" s="403">
        <f t="shared" si="5"/>
        <v>-0.1869918699186992</v>
      </c>
    </row>
    <row r="143" spans="1:25" s="6" customFormat="1" ht="15">
      <c r="A143" s="8"/>
      <c r="B143" s="322" t="s">
        <v>44</v>
      </c>
      <c r="C143" s="360">
        <v>31010200</v>
      </c>
      <c r="D143" s="383">
        <v>15</v>
      </c>
      <c r="E143" s="383">
        <v>15</v>
      </c>
      <c r="F143" s="384">
        <v>34.22</v>
      </c>
      <c r="G143" s="383">
        <v>19.22</v>
      </c>
      <c r="H143" s="373">
        <v>2.2813333333333334</v>
      </c>
      <c r="I143" s="383">
        <v>19.22</v>
      </c>
      <c r="J143" s="373">
        <v>2.2813333333333334</v>
      </c>
      <c r="K143" s="131">
        <v>0</v>
      </c>
      <c r="L143" s="131">
        <v>0</v>
      </c>
      <c r="M143" s="131">
        <v>0</v>
      </c>
      <c r="N143" s="391">
        <v>13.52</v>
      </c>
      <c r="O143" s="391">
        <v>1.4800000000000004</v>
      </c>
      <c r="P143" s="373">
        <v>1.1094674556213018</v>
      </c>
      <c r="Q143" s="391">
        <v>13.52</v>
      </c>
      <c r="R143" s="392">
        <v>20.7</v>
      </c>
      <c r="S143" s="373">
        <v>2.5310650887573964</v>
      </c>
      <c r="T143" s="366"/>
      <c r="U143" s="366"/>
      <c r="V143" s="366"/>
      <c r="W143" s="366"/>
      <c r="X143" s="327">
        <f t="shared" si="4"/>
        <v>1.4215976331360947</v>
      </c>
      <c r="Y143" s="403">
        <f t="shared" si="5"/>
        <v>1.4215976331360947</v>
      </c>
    </row>
    <row r="144" spans="1:25" s="6" customFormat="1" ht="30.75">
      <c r="A144" s="8"/>
      <c r="B144" s="322" t="s">
        <v>57</v>
      </c>
      <c r="C144" s="360">
        <v>31020000</v>
      </c>
      <c r="D144" s="383">
        <v>0</v>
      </c>
      <c r="E144" s="383">
        <v>0</v>
      </c>
      <c r="F144" s="384">
        <v>-4.86</v>
      </c>
      <c r="G144" s="383">
        <v>-4.86</v>
      </c>
      <c r="H144" s="373" t="e">
        <v>#DIV/0!</v>
      </c>
      <c r="I144" s="383">
        <v>-4.86</v>
      </c>
      <c r="J144" s="373">
        <v>0</v>
      </c>
      <c r="K144" s="131">
        <v>0</v>
      </c>
      <c r="L144" s="131">
        <v>0</v>
      </c>
      <c r="M144" s="131">
        <v>0</v>
      </c>
      <c r="N144" s="391">
        <v>7.37</v>
      </c>
      <c r="O144" s="391">
        <v>-7.37</v>
      </c>
      <c r="P144" s="373">
        <v>0</v>
      </c>
      <c r="Q144" s="391">
        <v>7.37</v>
      </c>
      <c r="R144" s="392">
        <v>-12.23</v>
      </c>
      <c r="S144" s="373">
        <v>-0.6594301221166893</v>
      </c>
      <c r="T144" s="366"/>
      <c r="U144" s="366"/>
      <c r="V144" s="366"/>
      <c r="W144" s="366"/>
      <c r="X144" s="327">
        <f t="shared" si="4"/>
        <v>-0.6594301221166893</v>
      </c>
      <c r="Y144" s="403">
        <f t="shared" si="5"/>
        <v>-0.6594301221166893</v>
      </c>
    </row>
    <row r="145" spans="4:25" ht="15">
      <c r="D145" s="370">
        <v>1048</v>
      </c>
      <c r="E145" s="370">
        <v>1048</v>
      </c>
      <c r="F145" s="405">
        <v>1238.34</v>
      </c>
      <c r="G145" s="370">
        <v>190.33999999999992</v>
      </c>
      <c r="H145" s="304">
        <v>1.18162213740458</v>
      </c>
      <c r="I145" s="370">
        <v>190.33999999999992</v>
      </c>
      <c r="J145" s="304">
        <v>1.18162213740458</v>
      </c>
      <c r="K145" s="90"/>
      <c r="L145" s="90"/>
      <c r="M145" s="90"/>
      <c r="N145" s="370">
        <v>507.73999999999995</v>
      </c>
      <c r="O145" s="370">
        <v>540.26</v>
      </c>
      <c r="P145" s="304">
        <v>2.06404852877457</v>
      </c>
      <c r="Q145" s="370">
        <v>507.73999999999995</v>
      </c>
      <c r="R145" s="370">
        <v>730.5999999999999</v>
      </c>
      <c r="S145" s="393">
        <v>2.4389254342773863</v>
      </c>
      <c r="T145" s="367"/>
      <c r="U145" s="367"/>
      <c r="V145" s="367"/>
      <c r="W145" s="367"/>
      <c r="X145" s="330">
        <f t="shared" si="4"/>
        <v>0.37487690550281627</v>
      </c>
      <c r="Y145" s="403">
        <f t="shared" si="5"/>
        <v>0.37487690550281627</v>
      </c>
    </row>
    <row r="146" spans="19:25" ht="15">
      <c r="S146" s="69"/>
      <c r="T146" s="367"/>
      <c r="U146" s="367"/>
      <c r="V146" s="367"/>
      <c r="W146" s="367"/>
      <c r="X146" s="327"/>
      <c r="Y146" s="403"/>
    </row>
    <row r="147" spans="2:25" ht="15">
      <c r="B147" s="260" t="s">
        <v>156</v>
      </c>
      <c r="S147" s="69"/>
      <c r="T147" s="367"/>
      <c r="U147" s="367"/>
      <c r="V147" s="367"/>
      <c r="W147" s="367"/>
      <c r="X147" s="327"/>
      <c r="Y147" s="403"/>
    </row>
    <row r="148" spans="1:25" s="6" customFormat="1" ht="30.75">
      <c r="A148" s="8"/>
      <c r="B148" s="314" t="s">
        <v>105</v>
      </c>
      <c r="C148" s="357">
        <v>22010300</v>
      </c>
      <c r="D148" s="376">
        <v>1173</v>
      </c>
      <c r="E148" s="376">
        <v>1173</v>
      </c>
      <c r="F148" s="378">
        <v>1205.14</v>
      </c>
      <c r="G148" s="376">
        <v>32.1400000000001</v>
      </c>
      <c r="H148" s="374">
        <v>1.0273998294970164</v>
      </c>
      <c r="I148" s="376">
        <v>32.1400000000001</v>
      </c>
      <c r="J148" s="374">
        <v>1.0273998294970164</v>
      </c>
      <c r="K148" s="130">
        <v>0</v>
      </c>
      <c r="L148" s="130">
        <v>0</v>
      </c>
      <c r="M148" s="130">
        <v>0</v>
      </c>
      <c r="N148" s="376">
        <v>791.33</v>
      </c>
      <c r="O148" s="376">
        <v>381.66999999999996</v>
      </c>
      <c r="P148" s="374">
        <v>1.4823145843074317</v>
      </c>
      <c r="Q148" s="376">
        <v>791.33</v>
      </c>
      <c r="R148" s="379">
        <v>413.81000000000006</v>
      </c>
      <c r="S148" s="374">
        <v>1.522929751178396</v>
      </c>
      <c r="T148" s="364"/>
      <c r="U148" s="364"/>
      <c r="V148" s="364"/>
      <c r="W148" s="364"/>
      <c r="X148" s="327">
        <f aca="true" t="shared" si="6" ref="X148:X153">S148-P148</f>
        <v>0.040615166870964226</v>
      </c>
      <c r="Y148" s="403">
        <f t="shared" si="5"/>
        <v>0.040615166870964226</v>
      </c>
    </row>
    <row r="149" spans="1:25" s="6" customFormat="1" ht="15">
      <c r="A149" s="8"/>
      <c r="B149" s="314" t="s">
        <v>151</v>
      </c>
      <c r="C149" s="357">
        <v>22010200</v>
      </c>
      <c r="D149" s="376">
        <v>23</v>
      </c>
      <c r="E149" s="376">
        <v>23</v>
      </c>
      <c r="F149" s="378">
        <v>23.38</v>
      </c>
      <c r="G149" s="376">
        <v>0.379999999999999</v>
      </c>
      <c r="H149" s="374">
        <v>1.0165217391304346</v>
      </c>
      <c r="I149" s="376">
        <v>0.379999999999999</v>
      </c>
      <c r="J149" s="374">
        <v>1.0165217391304346</v>
      </c>
      <c r="K149" s="130">
        <v>0</v>
      </c>
      <c r="L149" s="130">
        <v>0</v>
      </c>
      <c r="M149" s="130">
        <v>0</v>
      </c>
      <c r="N149" s="376">
        <v>0</v>
      </c>
      <c r="O149" s="376">
        <v>23</v>
      </c>
      <c r="P149" s="374" t="e">
        <v>#DIV/0!</v>
      </c>
      <c r="Q149" s="376">
        <v>0</v>
      </c>
      <c r="R149" s="379">
        <v>23.38</v>
      </c>
      <c r="S149" s="374">
        <v>0</v>
      </c>
      <c r="T149" s="364"/>
      <c r="U149" s="364"/>
      <c r="V149" s="364"/>
      <c r="W149" s="364"/>
      <c r="X149" s="327" t="e">
        <f t="shared" si="6"/>
        <v>#DIV/0!</v>
      </c>
      <c r="Y149" s="403" t="e">
        <f t="shared" si="5"/>
        <v>#DIV/0!</v>
      </c>
    </row>
    <row r="150" spans="1:25" s="6" customFormat="1" ht="15">
      <c r="A150" s="8"/>
      <c r="B150" s="320" t="s">
        <v>78</v>
      </c>
      <c r="C150" s="358">
        <v>22012500</v>
      </c>
      <c r="D150" s="377">
        <v>19700</v>
      </c>
      <c r="E150" s="377">
        <v>19700</v>
      </c>
      <c r="F150" s="395">
        <v>20110.24</v>
      </c>
      <c r="G150" s="377">
        <v>410.2400000000016</v>
      </c>
      <c r="H150" s="375">
        <v>1.0208243654822335</v>
      </c>
      <c r="I150" s="377">
        <v>410.2400000000016</v>
      </c>
      <c r="J150" s="375">
        <v>1.0208243654822335</v>
      </c>
      <c r="K150" s="33">
        <v>0</v>
      </c>
      <c r="L150" s="33">
        <v>0</v>
      </c>
      <c r="M150" s="33">
        <v>0</v>
      </c>
      <c r="N150" s="377">
        <v>11422.5</v>
      </c>
      <c r="O150" s="377">
        <v>8277.5</v>
      </c>
      <c r="P150" s="375">
        <v>1.7246662289341212</v>
      </c>
      <c r="Q150" s="377">
        <v>11422.5</v>
      </c>
      <c r="R150" s="396">
        <v>8687.740000000002</v>
      </c>
      <c r="S150" s="375">
        <v>1.7605813088203108</v>
      </c>
      <c r="T150" s="368"/>
      <c r="U150" s="368"/>
      <c r="V150" s="368"/>
      <c r="W150" s="368"/>
      <c r="X150" s="327">
        <f t="shared" si="6"/>
        <v>0.03591507988618958</v>
      </c>
      <c r="Y150" s="403">
        <f t="shared" si="5"/>
        <v>0.03591507988618958</v>
      </c>
    </row>
    <row r="151" spans="1:25" s="6" customFormat="1" ht="30.75">
      <c r="A151" s="8"/>
      <c r="B151" s="320" t="s">
        <v>99</v>
      </c>
      <c r="C151" s="358">
        <v>22012600</v>
      </c>
      <c r="D151" s="377">
        <v>694</v>
      </c>
      <c r="E151" s="377">
        <v>694</v>
      </c>
      <c r="F151" s="395">
        <v>710.04</v>
      </c>
      <c r="G151" s="377">
        <v>16.039999999999964</v>
      </c>
      <c r="H151" s="375">
        <v>1.0231123919308356</v>
      </c>
      <c r="I151" s="377">
        <v>16.039999999999964</v>
      </c>
      <c r="J151" s="375">
        <v>1.0231123919308356</v>
      </c>
      <c r="K151" s="33">
        <v>0</v>
      </c>
      <c r="L151" s="33">
        <v>0</v>
      </c>
      <c r="M151" s="33">
        <v>0</v>
      </c>
      <c r="N151" s="377">
        <v>323.25</v>
      </c>
      <c r="O151" s="377">
        <v>370.75</v>
      </c>
      <c r="P151" s="375">
        <v>2.1469450889404484</v>
      </c>
      <c r="Q151" s="377">
        <v>323.25</v>
      </c>
      <c r="R151" s="396">
        <v>386.78999999999996</v>
      </c>
      <c r="S151" s="375">
        <v>2.196566125290023</v>
      </c>
      <c r="T151" s="368"/>
      <c r="U151" s="368"/>
      <c r="V151" s="368"/>
      <c r="W151" s="368"/>
      <c r="X151" s="327">
        <f t="shared" si="6"/>
        <v>0.0496210363495746</v>
      </c>
      <c r="Y151" s="403">
        <f t="shared" si="5"/>
        <v>0.0496210363495746</v>
      </c>
    </row>
    <row r="152" spans="1:25" s="6" customFormat="1" ht="30.75">
      <c r="A152" s="8"/>
      <c r="B152" s="320" t="s">
        <v>106</v>
      </c>
      <c r="C152" s="358">
        <v>22012900</v>
      </c>
      <c r="D152" s="377">
        <v>20</v>
      </c>
      <c r="E152" s="377">
        <v>20</v>
      </c>
      <c r="F152" s="395">
        <v>41.44</v>
      </c>
      <c r="G152" s="377">
        <v>21.439999999999998</v>
      </c>
      <c r="H152" s="375">
        <v>2.072</v>
      </c>
      <c r="I152" s="377">
        <v>21.439999999999998</v>
      </c>
      <c r="J152" s="375">
        <v>2.072</v>
      </c>
      <c r="K152" s="33">
        <v>0</v>
      </c>
      <c r="L152" s="33">
        <v>0</v>
      </c>
      <c r="M152" s="33">
        <v>0</v>
      </c>
      <c r="N152" s="377">
        <v>22.36</v>
      </c>
      <c r="O152" s="377">
        <v>-2.3599999999999994</v>
      </c>
      <c r="P152" s="375">
        <v>0.8944543828264758</v>
      </c>
      <c r="Q152" s="377">
        <v>22.36</v>
      </c>
      <c r="R152" s="396">
        <v>19.08</v>
      </c>
      <c r="S152" s="375">
        <v>1.8533094812164579</v>
      </c>
      <c r="T152" s="368"/>
      <c r="U152" s="368"/>
      <c r="V152" s="368"/>
      <c r="W152" s="368"/>
      <c r="X152" s="327">
        <f t="shared" si="6"/>
        <v>0.9588550983899821</v>
      </c>
      <c r="Y152" s="403">
        <f t="shared" si="5"/>
        <v>0.9588550983899821</v>
      </c>
    </row>
    <row r="153" spans="2:25" ht="15">
      <c r="B153" s="260" t="s">
        <v>156</v>
      </c>
      <c r="C153" s="400">
        <v>22010000</v>
      </c>
      <c r="D153" s="370">
        <v>21610</v>
      </c>
      <c r="E153" s="370">
        <v>21610</v>
      </c>
      <c r="F153" s="405">
        <v>22090.24</v>
      </c>
      <c r="G153" s="370">
        <v>480.2400000000016</v>
      </c>
      <c r="H153" s="304">
        <v>1.0222230448866267</v>
      </c>
      <c r="I153" s="370">
        <v>480.2400000000016</v>
      </c>
      <c r="J153" s="304">
        <v>1.0222230448866267</v>
      </c>
      <c r="K153" s="90"/>
      <c r="L153" s="90"/>
      <c r="M153" s="90"/>
      <c r="N153" s="370">
        <v>12559.44</v>
      </c>
      <c r="O153" s="370">
        <v>9050.56</v>
      </c>
      <c r="P153" s="304">
        <v>1.7206181167313193</v>
      </c>
      <c r="Q153" s="370">
        <v>12559.44</v>
      </c>
      <c r="R153" s="370">
        <v>9530.800000000001</v>
      </c>
      <c r="S153" s="304">
        <v>1.7588554903721823</v>
      </c>
      <c r="T153" s="367"/>
      <c r="U153" s="367"/>
      <c r="V153" s="367"/>
      <c r="W153" s="367"/>
      <c r="X153" s="330">
        <f t="shared" si="6"/>
        <v>0.03823737364086299</v>
      </c>
      <c r="Y153" s="403">
        <f t="shared" si="5"/>
        <v>0.03823737364086299</v>
      </c>
    </row>
    <row r="154" spans="20:25" ht="15">
      <c r="T154" s="367"/>
      <c r="U154" s="367"/>
      <c r="V154" s="367"/>
      <c r="W154" s="367"/>
      <c r="X154" s="327"/>
      <c r="Y154" s="403"/>
    </row>
    <row r="155" spans="20:25" ht="15">
      <c r="T155" s="367"/>
      <c r="U155" s="367"/>
      <c r="V155" s="367"/>
      <c r="W155" s="367"/>
      <c r="X155" s="327"/>
      <c r="Y155" s="403"/>
    </row>
    <row r="156" spans="2:25" ht="15">
      <c r="B156" s="260" t="s">
        <v>172</v>
      </c>
      <c r="T156" s="367"/>
      <c r="U156" s="367"/>
      <c r="V156" s="367"/>
      <c r="W156" s="367"/>
      <c r="X156" s="327"/>
      <c r="Y156" s="403"/>
    </row>
    <row r="157" spans="1:25" s="6" customFormat="1" ht="15.75" customHeight="1">
      <c r="A157" s="8"/>
      <c r="B157" s="321" t="s">
        <v>13</v>
      </c>
      <c r="C157" s="360" t="s">
        <v>19</v>
      </c>
      <c r="D157" s="391">
        <v>7875</v>
      </c>
      <c r="E157" s="391">
        <v>7875</v>
      </c>
      <c r="F157" s="397">
        <v>8086.92</v>
      </c>
      <c r="G157" s="391">
        <v>211.92000000000007</v>
      </c>
      <c r="H157" s="373">
        <v>1.0269104761904762</v>
      </c>
      <c r="I157" s="391">
        <v>211.92000000000007</v>
      </c>
      <c r="J157" s="373">
        <v>1.0269104761904762</v>
      </c>
      <c r="K157" s="359">
        <v>0</v>
      </c>
      <c r="L157" s="359">
        <v>0</v>
      </c>
      <c r="M157" s="359">
        <v>0</v>
      </c>
      <c r="N157" s="391">
        <v>6525.16</v>
      </c>
      <c r="O157" s="391">
        <v>1349.8400000000001</v>
      </c>
      <c r="P157" s="373">
        <v>1.2068669580516034</v>
      </c>
      <c r="Q157" s="391">
        <v>6525.16</v>
      </c>
      <c r="R157" s="391">
        <v>1561.7600000000002</v>
      </c>
      <c r="S157" s="373">
        <v>1.2393443225913234</v>
      </c>
      <c r="T157" s="369"/>
      <c r="U157" s="369"/>
      <c r="V157" s="369"/>
      <c r="W157" s="369"/>
      <c r="X157" s="327">
        <f>S157-P157</f>
        <v>0.032477364539720055</v>
      </c>
      <c r="Y157" s="403">
        <f t="shared" si="5"/>
        <v>0.032477364539720055</v>
      </c>
    </row>
    <row r="158" spans="1:25" s="6" customFormat="1" ht="44.25" customHeight="1">
      <c r="A158" s="8"/>
      <c r="B158" s="321" t="s">
        <v>43</v>
      </c>
      <c r="C158" s="360">
        <v>24061900</v>
      </c>
      <c r="D158" s="391">
        <v>160</v>
      </c>
      <c r="E158" s="391">
        <v>160</v>
      </c>
      <c r="F158" s="397">
        <v>142.18</v>
      </c>
      <c r="G158" s="391">
        <v>-17.819999999999993</v>
      </c>
      <c r="H158" s="373">
        <v>0.888625</v>
      </c>
      <c r="I158" s="391">
        <v>-17.819999999999993</v>
      </c>
      <c r="J158" s="373">
        <v>0.888625</v>
      </c>
      <c r="K158" s="359">
        <v>0</v>
      </c>
      <c r="L158" s="359">
        <v>0</v>
      </c>
      <c r="M158" s="359">
        <v>0</v>
      </c>
      <c r="N158" s="391">
        <v>226.72</v>
      </c>
      <c r="O158" s="391">
        <v>-66.72</v>
      </c>
      <c r="P158" s="373">
        <v>0.7057163020465773</v>
      </c>
      <c r="Q158" s="391">
        <v>226.72</v>
      </c>
      <c r="R158" s="391">
        <v>-84.53999999999999</v>
      </c>
      <c r="S158" s="373">
        <v>0.6271171489061398</v>
      </c>
      <c r="T158" s="369"/>
      <c r="U158" s="369"/>
      <c r="V158" s="369"/>
      <c r="W158" s="369"/>
      <c r="X158" s="327">
        <f>S158-P158</f>
        <v>-0.07859915314043753</v>
      </c>
      <c r="Y158" s="403">
        <f t="shared" si="5"/>
        <v>-0.07859915314043753</v>
      </c>
    </row>
    <row r="159" spans="2:25" ht="15">
      <c r="B159" s="260" t="s">
        <v>172</v>
      </c>
      <c r="C159" s="399">
        <v>24060000</v>
      </c>
      <c r="D159" s="370">
        <v>8035</v>
      </c>
      <c r="E159" s="370">
        <v>8035</v>
      </c>
      <c r="F159" s="405">
        <v>8229.1</v>
      </c>
      <c r="G159" s="372">
        <v>194.10000000000036</v>
      </c>
      <c r="H159" s="304">
        <v>1.024156813939017</v>
      </c>
      <c r="I159" s="370">
        <v>194.10000000000036</v>
      </c>
      <c r="J159" s="304">
        <v>1.024156813939017</v>
      </c>
      <c r="K159" s="90"/>
      <c r="L159" s="90"/>
      <c r="M159" s="90"/>
      <c r="N159" s="370">
        <v>6751.88</v>
      </c>
      <c r="O159" s="370">
        <v>1283.12</v>
      </c>
      <c r="P159" s="304">
        <v>1.1900389224926984</v>
      </c>
      <c r="Q159" s="370">
        <v>6751.88</v>
      </c>
      <c r="R159" s="370">
        <v>1477.2200000000003</v>
      </c>
      <c r="S159" s="304">
        <v>1.2187864713235426</v>
      </c>
      <c r="T159" s="367"/>
      <c r="U159" s="367"/>
      <c r="V159" s="367"/>
      <c r="W159" s="367"/>
      <c r="X159" s="330">
        <f>S159-P159</f>
        <v>0.028747548830844183</v>
      </c>
      <c r="Y159" s="403">
        <f t="shared" si="5"/>
        <v>0.028747548830844183</v>
      </c>
    </row>
    <row r="160" spans="20:23" ht="15">
      <c r="T160" s="367"/>
      <c r="U160" s="367"/>
      <c r="V160" s="367"/>
      <c r="W160" s="367"/>
    </row>
    <row r="161" spans="20:23" ht="15">
      <c r="T161" s="367"/>
      <c r="U161" s="367"/>
      <c r="V161" s="367"/>
      <c r="W161" s="367"/>
    </row>
    <row r="162" spans="20:23" ht="15">
      <c r="T162" s="367"/>
      <c r="U162" s="367"/>
      <c r="V162" s="367"/>
      <c r="W162" s="367"/>
    </row>
    <row r="163" spans="20:23" ht="15">
      <c r="T163" s="367"/>
      <c r="U163" s="367"/>
      <c r="V163" s="367"/>
      <c r="W163" s="367"/>
    </row>
    <row r="164" spans="20:23" ht="15">
      <c r="T164" s="367"/>
      <c r="U164" s="367"/>
      <c r="V164" s="367"/>
      <c r="W164" s="367"/>
    </row>
    <row r="165" spans="20:23" ht="15">
      <c r="T165" s="367"/>
      <c r="U165" s="367"/>
      <c r="V165" s="367"/>
      <c r="W165" s="367"/>
    </row>
    <row r="166" spans="20:23" ht="15">
      <c r="T166" s="367"/>
      <c r="U166" s="367"/>
      <c r="V166" s="367"/>
      <c r="W166" s="367"/>
    </row>
    <row r="167" spans="20:23" ht="15">
      <c r="T167" s="367"/>
      <c r="U167" s="367"/>
      <c r="V167" s="367"/>
      <c r="W167" s="367"/>
    </row>
    <row r="168" spans="20:23" ht="15">
      <c r="T168" s="367"/>
      <c r="U168" s="367"/>
      <c r="V168" s="367"/>
      <c r="W168" s="367"/>
    </row>
  </sheetData>
  <sheetProtection/>
  <mergeCells count="34">
    <mergeCell ref="B109:C109"/>
    <mergeCell ref="G109:H109"/>
    <mergeCell ref="G110:H110"/>
    <mergeCell ref="B111:C111"/>
    <mergeCell ref="G111:H111"/>
    <mergeCell ref="U113:V113"/>
    <mergeCell ref="U105:V105"/>
    <mergeCell ref="G106:H106"/>
    <mergeCell ref="U106:V106"/>
    <mergeCell ref="G107:H107"/>
    <mergeCell ref="U107:V107"/>
    <mergeCell ref="G108:H108"/>
    <mergeCell ref="V4:V5"/>
    <mergeCell ref="W4:W5"/>
    <mergeCell ref="K5:M5"/>
    <mergeCell ref="N5:P5"/>
    <mergeCell ref="Q5:S5"/>
    <mergeCell ref="G104:J104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</mergeCells>
  <printOptions/>
  <pageMargins left="0.3937007874015748" right="0" top="0" bottom="0" header="0" footer="0"/>
  <pageSetup fitToHeight="4" fitToWidth="1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7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Y81" sqref="Y8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47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64" t="s">
        <v>130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86"/>
      <c r="S1" s="87"/>
    </row>
    <row r="2" spans="2:19" s="1" customFormat="1" ht="15.75" customHeight="1">
      <c r="B2" s="465"/>
      <c r="C2" s="465"/>
      <c r="D2" s="465"/>
      <c r="E2" s="2"/>
      <c r="F2" s="280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6"/>
      <c r="B3" s="468"/>
      <c r="C3" s="469" t="s">
        <v>0</v>
      </c>
      <c r="D3" s="438" t="s">
        <v>124</v>
      </c>
      <c r="E3" s="32"/>
      <c r="F3" s="470" t="s">
        <v>26</v>
      </c>
      <c r="G3" s="471"/>
      <c r="H3" s="471"/>
      <c r="I3" s="471"/>
      <c r="J3" s="472"/>
      <c r="K3" s="83"/>
      <c r="L3" s="83"/>
      <c r="M3" s="83"/>
      <c r="N3" s="483" t="s">
        <v>127</v>
      </c>
      <c r="O3" s="474" t="s">
        <v>123</v>
      </c>
      <c r="P3" s="474"/>
      <c r="Q3" s="474"/>
      <c r="R3" s="474"/>
      <c r="S3" s="474"/>
    </row>
    <row r="4" spans="1:19" ht="22.5" customHeight="1">
      <c r="A4" s="466"/>
      <c r="B4" s="468"/>
      <c r="C4" s="469"/>
      <c r="D4" s="438"/>
      <c r="E4" s="475" t="s">
        <v>125</v>
      </c>
      <c r="F4" s="487" t="s">
        <v>33</v>
      </c>
      <c r="G4" s="447" t="s">
        <v>126</v>
      </c>
      <c r="H4" s="460" t="s">
        <v>121</v>
      </c>
      <c r="I4" s="447" t="s">
        <v>103</v>
      </c>
      <c r="J4" s="460" t="s">
        <v>104</v>
      </c>
      <c r="K4" s="85" t="s">
        <v>114</v>
      </c>
      <c r="L4" s="203" t="s">
        <v>113</v>
      </c>
      <c r="M4" s="90" t="s">
        <v>63</v>
      </c>
      <c r="N4" s="460"/>
      <c r="O4" s="462" t="s">
        <v>131</v>
      </c>
      <c r="P4" s="447" t="s">
        <v>49</v>
      </c>
      <c r="Q4" s="449" t="s">
        <v>48</v>
      </c>
      <c r="R4" s="91" t="s">
        <v>64</v>
      </c>
      <c r="S4" s="92" t="s">
        <v>63</v>
      </c>
    </row>
    <row r="5" spans="1:19" ht="67.5" customHeight="1">
      <c r="A5" s="467"/>
      <c r="B5" s="468"/>
      <c r="C5" s="469"/>
      <c r="D5" s="438"/>
      <c r="E5" s="476"/>
      <c r="F5" s="488"/>
      <c r="G5" s="448"/>
      <c r="H5" s="461"/>
      <c r="I5" s="448"/>
      <c r="J5" s="461"/>
      <c r="K5" s="450" t="s">
        <v>128</v>
      </c>
      <c r="L5" s="451"/>
      <c r="M5" s="452"/>
      <c r="N5" s="461"/>
      <c r="O5" s="463"/>
      <c r="P5" s="448"/>
      <c r="Q5" s="449"/>
      <c r="R5" s="450" t="s">
        <v>102</v>
      </c>
      <c r="S5" s="45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281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281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62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4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282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6">
        <v>372804.54</v>
      </c>
      <c r="L9" s="159">
        <f>#N/A</f>
        <v>169104.01000000007</v>
      </c>
      <c r="M9" s="205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283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6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283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6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283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6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283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6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283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6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3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282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7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283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7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284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7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282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7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282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2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85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8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286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8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0">
        <f>18500+2500</f>
        <v>21000</v>
      </c>
      <c r="E22" s="170">
        <f>#N/A</f>
        <v>21000</v>
      </c>
      <c r="F22" s="287">
        <v>21482.16</v>
      </c>
      <c r="G22" s="170">
        <f>#N/A</f>
        <v>482.15999999999985</v>
      </c>
      <c r="H22" s="172">
        <f>#N/A</f>
        <v>102.296</v>
      </c>
      <c r="I22" s="173">
        <f>#N/A</f>
        <v>482.15999999999985</v>
      </c>
      <c r="J22" s="173">
        <f>#N/A</f>
        <v>102.296</v>
      </c>
      <c r="K22" s="174">
        <v>13340.12</v>
      </c>
      <c r="L22" s="166">
        <f>#N/A</f>
        <v>8142.039999999999</v>
      </c>
      <c r="M22" s="214">
        <f>#N/A</f>
        <v>1.6103423357511026</v>
      </c>
      <c r="N22" s="172" t="e">
        <f>E22-#REF!</f>
        <v>#REF!</v>
      </c>
      <c r="O22" s="175" t="e">
        <f>F22-#REF!</f>
        <v>#REF!</v>
      </c>
      <c r="P22" s="176" t="e">
        <f>#N/A</f>
        <v>#REF!</v>
      </c>
      <c r="Q22" s="173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5" t="s">
        <v>109</v>
      </c>
      <c r="C23" s="196"/>
      <c r="D23" s="197">
        <v>2000</v>
      </c>
      <c r="E23" s="197">
        <f>#N/A</f>
        <v>2000</v>
      </c>
      <c r="F23" s="284">
        <v>842.7</v>
      </c>
      <c r="G23" s="197">
        <f>#N/A</f>
        <v>-1157.3</v>
      </c>
      <c r="H23" s="198">
        <f>#N/A</f>
        <v>42.135</v>
      </c>
      <c r="I23" s="199">
        <f>#N/A</f>
        <v>-1157.3</v>
      </c>
      <c r="J23" s="199">
        <f>#N/A</f>
        <v>42.135</v>
      </c>
      <c r="K23" s="199">
        <v>716.11</v>
      </c>
      <c r="L23" s="199">
        <f>#N/A</f>
        <v>126.59000000000003</v>
      </c>
      <c r="M23" s="227">
        <f>#N/A</f>
        <v>1.1767745178813311</v>
      </c>
      <c r="N23" s="198" t="e">
        <f>E23-#REF!</f>
        <v>#REF!</v>
      </c>
      <c r="O23" s="198" t="e">
        <f>F23-#REF!</f>
        <v>#REF!</v>
      </c>
      <c r="P23" s="199" t="e">
        <f>#N/A</f>
        <v>#REF!</v>
      </c>
      <c r="Q23" s="199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5" t="s">
        <v>110</v>
      </c>
      <c r="C24" s="196"/>
      <c r="D24" s="197">
        <f>16500+2500</f>
        <v>19000</v>
      </c>
      <c r="E24" s="197">
        <f>#N/A</f>
        <v>19000</v>
      </c>
      <c r="F24" s="284">
        <v>20639.46</v>
      </c>
      <c r="G24" s="197">
        <f>#N/A</f>
        <v>1639.4599999999991</v>
      </c>
      <c r="H24" s="198">
        <f>#N/A</f>
        <v>108.62873684210525</v>
      </c>
      <c r="I24" s="199">
        <f>#N/A</f>
        <v>1639.4599999999991</v>
      </c>
      <c r="J24" s="199">
        <f>#N/A</f>
        <v>108.62873684210525</v>
      </c>
      <c r="K24" s="199">
        <v>12624.02</v>
      </c>
      <c r="L24" s="199">
        <f>#N/A</f>
        <v>8015.439999999999</v>
      </c>
      <c r="M24" s="227">
        <f>#N/A</f>
        <v>1.6349356227255658</v>
      </c>
      <c r="N24" s="198" t="e">
        <f>E24-#REF!</f>
        <v>#REF!</v>
      </c>
      <c r="O24" s="198" t="e">
        <f>F24-#REF!</f>
        <v>#REF!</v>
      </c>
      <c r="P24" s="199" t="e">
        <f>#N/A</f>
        <v>#REF!</v>
      </c>
      <c r="Q24" s="199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0">
        <f>1000-155</f>
        <v>845</v>
      </c>
      <c r="E25" s="170">
        <f>#N/A</f>
        <v>845</v>
      </c>
      <c r="F25" s="287">
        <v>701.85</v>
      </c>
      <c r="G25" s="170">
        <f>#N/A</f>
        <v>-143.14999999999998</v>
      </c>
      <c r="H25" s="172">
        <f>#N/A</f>
        <v>83.05917159763314</v>
      </c>
      <c r="I25" s="173">
        <f>#N/A</f>
        <v>-143.14999999999998</v>
      </c>
      <c r="J25" s="173">
        <f>#N/A</f>
        <v>83.05917159763314</v>
      </c>
      <c r="K25" s="173">
        <v>3879.26</v>
      </c>
      <c r="L25" s="173">
        <f>#N/A</f>
        <v>-3177.4100000000003</v>
      </c>
      <c r="M25" s="211">
        <f>#N/A</f>
        <v>0.18092368132066425</v>
      </c>
      <c r="N25" s="172" t="e">
        <f>E25-#REF!</f>
        <v>#REF!</v>
      </c>
      <c r="O25" s="175" t="e">
        <f>F25-#REF!</f>
        <v>#REF!</v>
      </c>
      <c r="P25" s="176" t="e">
        <f>#N/A</f>
        <v>#REF!</v>
      </c>
      <c r="Q25" s="173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0">
        <v>158699.65</v>
      </c>
      <c r="E26" s="170">
        <f>#N/A</f>
        <v>158699.65</v>
      </c>
      <c r="F26" s="287">
        <v>160111.04</v>
      </c>
      <c r="G26" s="170">
        <f>#N/A</f>
        <v>1411.390000000014</v>
      </c>
      <c r="H26" s="172">
        <f>#N/A</f>
        <v>100.88934663687034</v>
      </c>
      <c r="I26" s="173">
        <f>#N/A</f>
        <v>1411.390000000014</v>
      </c>
      <c r="J26" s="173">
        <f>#N/A</f>
        <v>100.88934663687034</v>
      </c>
      <c r="K26" s="174">
        <v>102382.03</v>
      </c>
      <c r="L26" s="174">
        <f>#N/A</f>
        <v>57729.01000000001</v>
      </c>
      <c r="M26" s="210">
        <f>#N/A</f>
        <v>1.5638588138953682</v>
      </c>
      <c r="N26" s="172" t="e">
        <f>E26-#REF!</f>
        <v>#REF!</v>
      </c>
      <c r="O26" s="175" t="e">
        <f>F26-#REF!</f>
        <v>#REF!</v>
      </c>
      <c r="P26" s="176" t="e">
        <f>#N/A</f>
        <v>#REF!</v>
      </c>
      <c r="Q26" s="173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5" t="s">
        <v>111</v>
      </c>
      <c r="C27" s="196"/>
      <c r="D27" s="197">
        <f>47367+1218+1182</f>
        <v>49767</v>
      </c>
      <c r="E27" s="197">
        <f>#N/A</f>
        <v>49767</v>
      </c>
      <c r="F27" s="284">
        <v>49911.97</v>
      </c>
      <c r="G27" s="197">
        <f>#N/A</f>
        <v>144.97000000000116</v>
      </c>
      <c r="H27" s="198">
        <f>#N/A</f>
        <v>100.29129744609881</v>
      </c>
      <c r="I27" s="199">
        <f>#N/A</f>
        <v>144.97000000000116</v>
      </c>
      <c r="J27" s="199">
        <f>#N/A</f>
        <v>100.29129744609881</v>
      </c>
      <c r="K27" s="199">
        <v>27811.39</v>
      </c>
      <c r="L27" s="199">
        <f>#N/A</f>
        <v>22100.58</v>
      </c>
      <c r="M27" s="227">
        <f>#N/A</f>
        <v>1.7946593104479855</v>
      </c>
      <c r="N27" s="198" t="e">
        <f>E27-#REF!</f>
        <v>#REF!</v>
      </c>
      <c r="O27" s="198" t="e">
        <f>F27-#REF!</f>
        <v>#REF!</v>
      </c>
      <c r="P27" s="199" t="e">
        <f>#N/A</f>
        <v>#REF!</v>
      </c>
      <c r="Q27" s="199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5" t="s">
        <v>112</v>
      </c>
      <c r="C28" s="196"/>
      <c r="D28" s="197">
        <f>108032.65+200+700</f>
        <v>108932.65</v>
      </c>
      <c r="E28" s="197">
        <f>#N/A</f>
        <v>108932.65</v>
      </c>
      <c r="F28" s="284">
        <v>110199.06</v>
      </c>
      <c r="G28" s="197">
        <f>#N/A</f>
        <v>1266.4100000000035</v>
      </c>
      <c r="H28" s="198">
        <f>#N/A</f>
        <v>101.16256237225478</v>
      </c>
      <c r="I28" s="199">
        <f>#N/A</f>
        <v>1266.4100000000035</v>
      </c>
      <c r="J28" s="199">
        <f>#N/A</f>
        <v>101.16256237225478</v>
      </c>
      <c r="K28" s="199">
        <v>74570.64</v>
      </c>
      <c r="L28" s="199">
        <f>#N/A</f>
        <v>35628.42</v>
      </c>
      <c r="M28" s="227">
        <f>#N/A</f>
        <v>1.4777807995210983</v>
      </c>
      <c r="N28" s="198" t="e">
        <f>E28-#REF!</f>
        <v>#REF!</v>
      </c>
      <c r="O28" s="198" t="e">
        <f>F28-#REF!</f>
        <v>#REF!</v>
      </c>
      <c r="P28" s="199" t="e">
        <f>#N/A</f>
        <v>#REF!</v>
      </c>
      <c r="Q28" s="199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1">
        <v>18020000</v>
      </c>
      <c r="D29" s="162">
        <v>0</v>
      </c>
      <c r="E29" s="162">
        <f>#N/A</f>
        <v>0</v>
      </c>
      <c r="F29" s="288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09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282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09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282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09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284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7">
        <v>104269.58</v>
      </c>
      <c r="L32" s="177">
        <f>F32-K32</f>
        <v>53999.020000000004</v>
      </c>
      <c r="M32" s="225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283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5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283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5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283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5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283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5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289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6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62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4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282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7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282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7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282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7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282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7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282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7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282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7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282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7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282"/>
      <c r="G46" s="162"/>
      <c r="H46" s="164"/>
      <c r="I46" s="165"/>
      <c r="J46" s="165"/>
      <c r="K46" s="165"/>
      <c r="L46" s="165">
        <f>#N/A</f>
        <v>0</v>
      </c>
      <c r="M46" s="217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282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7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282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7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282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7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282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7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282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7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283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283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283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283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282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7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282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7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290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7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91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7">
        <f>#N/A</f>
        <v>1.1527082329300866</v>
      </c>
      <c r="N59" s="164"/>
      <c r="O59" s="178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292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7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282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7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282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7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282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7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62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8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293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293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294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295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79">
        <v>0</v>
      </c>
      <c r="E69" s="179">
        <f>D69</f>
        <v>0</v>
      </c>
      <c r="F69" s="296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8">
        <f>F69/K69</f>
        <v>1</v>
      </c>
      <c r="N69" s="162"/>
      <c r="O69" s="181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79">
        <v>0</v>
      </c>
      <c r="E70" s="179">
        <f>D70</f>
        <v>0</v>
      </c>
      <c r="F70" s="296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8">
        <f>F70/K70</f>
        <v>0.18131672597864767</v>
      </c>
      <c r="N70" s="164"/>
      <c r="O70" s="181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2">
        <f>D70</f>
        <v>0</v>
      </c>
      <c r="E71" s="182">
        <f>E70</f>
        <v>0</v>
      </c>
      <c r="F71" s="297">
        <f>SUM(F69:F70)</f>
        <v>-10.18</v>
      </c>
      <c r="G71" s="184">
        <f>F71-E71</f>
        <v>-10.18</v>
      </c>
      <c r="H71" s="185"/>
      <c r="I71" s="186">
        <f>F71-D71</f>
        <v>-10.18</v>
      </c>
      <c r="J71" s="186"/>
      <c r="K71" s="186">
        <v>-56.2</v>
      </c>
      <c r="L71" s="186">
        <f>F71-K71</f>
        <v>46.02</v>
      </c>
      <c r="M71" s="213">
        <f>F71/K71</f>
        <v>0.18113879003558717</v>
      </c>
      <c r="N71" s="184">
        <f>N70</f>
        <v>0</v>
      </c>
      <c r="O71" s="187" t="e">
        <f>SUM(O69:O70)</f>
        <v>#REF!</v>
      </c>
      <c r="P71" s="186" t="e">
        <f>O71-N71</f>
        <v>#REF!</v>
      </c>
      <c r="Q71" s="186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79">
        <v>0</v>
      </c>
      <c r="E72" s="179"/>
      <c r="F72" s="296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1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79">
        <f>4200+11000-12200</f>
        <v>3000</v>
      </c>
      <c r="E73" s="179">
        <f>D73</f>
        <v>3000</v>
      </c>
      <c r="F73" s="296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8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79">
        <f>7459+9700-6864</f>
        <v>10295</v>
      </c>
      <c r="E74" s="179">
        <f>D74</f>
        <v>10295</v>
      </c>
      <c r="F74" s="296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8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79">
        <f>6000+10000-3600</f>
        <v>12400</v>
      </c>
      <c r="E75" s="179">
        <f>D75</f>
        <v>12400</v>
      </c>
      <c r="F75" s="296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8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79">
        <v>12</v>
      </c>
      <c r="E76" s="179">
        <f>D76</f>
        <v>12</v>
      </c>
      <c r="F76" s="296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8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2">
        <f>D73+D74+D75+D76</f>
        <v>25707</v>
      </c>
      <c r="E77" s="182">
        <f>E73+E74+E75+E76</f>
        <v>25707</v>
      </c>
      <c r="F77" s="297">
        <f>F73+F74+F75+F76</f>
        <v>27660.95</v>
      </c>
      <c r="G77" s="184">
        <f>#N/A</f>
        <v>1953.9500000000007</v>
      </c>
      <c r="H77" s="185">
        <f>F77/E77*100</f>
        <v>107.60084801804956</v>
      </c>
      <c r="I77" s="186">
        <f>#N/A</f>
        <v>1953.9500000000007</v>
      </c>
      <c r="J77" s="186">
        <f>F77/D77*100</f>
        <v>107.60084801804956</v>
      </c>
      <c r="K77" s="186">
        <v>11309.15</v>
      </c>
      <c r="L77" s="186">
        <f>#N/A</f>
        <v>16351.800000000001</v>
      </c>
      <c r="M77" s="213">
        <f>F77/K77</f>
        <v>2.445891158928832</v>
      </c>
      <c r="N77" s="184" t="e">
        <f>N73+N74+N75+N76</f>
        <v>#REF!</v>
      </c>
      <c r="O77" s="188" t="e">
        <f>O73+O74+O75+O76</f>
        <v>#REF!</v>
      </c>
      <c r="P77" s="186" t="e">
        <f>#N/A</f>
        <v>#REF!</v>
      </c>
      <c r="Q77" s="186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79">
        <f>1+49</f>
        <v>50</v>
      </c>
      <c r="E78" s="179">
        <f>D78</f>
        <v>50</v>
      </c>
      <c r="F78" s="296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8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79">
        <v>0</v>
      </c>
      <c r="E79" s="179">
        <v>0</v>
      </c>
      <c r="F79" s="296">
        <v>0</v>
      </c>
      <c r="G79" s="162">
        <f>#N/A</f>
        <v>0</v>
      </c>
      <c r="H79" s="164"/>
      <c r="I79" s="167">
        <f>#N/A</f>
        <v>0</v>
      </c>
      <c r="J79" s="189"/>
      <c r="K79" s="167">
        <v>0</v>
      </c>
      <c r="L79" s="167">
        <f>#N/A</f>
        <v>0</v>
      </c>
      <c r="M79" s="208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89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79">
        <f>9500-1150</f>
        <v>8350</v>
      </c>
      <c r="E80" s="179">
        <f>D80</f>
        <v>8350</v>
      </c>
      <c r="F80" s="296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8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89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79">
        <v>0</v>
      </c>
      <c r="E81" s="179">
        <f>D81</f>
        <v>0</v>
      </c>
      <c r="F81" s="296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8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2">
        <f>D78+D81+D79+D80</f>
        <v>8400</v>
      </c>
      <c r="E82" s="182">
        <f>E78+E81+E79+E80</f>
        <v>8400</v>
      </c>
      <c r="F82" s="297">
        <f>F78+F81+F79+F80</f>
        <v>8424.15</v>
      </c>
      <c r="G82" s="182">
        <f>G78+G81+G79+G80</f>
        <v>24.150000000000286</v>
      </c>
      <c r="H82" s="185">
        <f>F82/E82*100</f>
        <v>100.2875</v>
      </c>
      <c r="I82" s="186">
        <f>#N/A</f>
        <v>24.149999999999636</v>
      </c>
      <c r="J82" s="186">
        <f>F82/D82*100</f>
        <v>100.2875</v>
      </c>
      <c r="K82" s="186">
        <v>2.5</v>
      </c>
      <c r="L82" s="186">
        <f>#N/A</f>
        <v>8421.65</v>
      </c>
      <c r="M82" s="219">
        <f>F82/K82</f>
        <v>3369.66</v>
      </c>
      <c r="N82" s="184" t="e">
        <f>N78+N81+N79+N80</f>
        <v>#REF!</v>
      </c>
      <c r="O82" s="188" t="e">
        <f>O78+O81+O79+O80</f>
        <v>#REF!</v>
      </c>
      <c r="P82" s="184" t="e">
        <f>P78+P81+P79+P80</f>
        <v>#REF!</v>
      </c>
      <c r="Q82" s="186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79">
        <f>43-16</f>
        <v>27</v>
      </c>
      <c r="E83" s="179">
        <f>D83</f>
        <v>27</v>
      </c>
      <c r="F83" s="296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8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79"/>
      <c r="E84" s="179"/>
      <c r="F84" s="296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0">
        <f>D71+D83+D77+D82</f>
        <v>34134</v>
      </c>
      <c r="E85" s="190">
        <f>E71+E83+E77+E82</f>
        <v>34134</v>
      </c>
      <c r="F85" s="230">
        <f>F71+F83+F77+F82+F84</f>
        <v>36110.25</v>
      </c>
      <c r="G85" s="191">
        <f>F85-E85</f>
        <v>1976.25</v>
      </c>
      <c r="H85" s="192">
        <f>F85/E85*100</f>
        <v>105.78968184215152</v>
      </c>
      <c r="I85" s="193">
        <f>F85-D85</f>
        <v>1976.25</v>
      </c>
      <c r="J85" s="193">
        <f>F85/D85*100</f>
        <v>105.78968184215152</v>
      </c>
      <c r="K85" s="193">
        <v>11294.63</v>
      </c>
      <c r="L85" s="193">
        <f>F85-K85</f>
        <v>24815.620000000003</v>
      </c>
      <c r="M85" s="220">
        <f>F85/K85</f>
        <v>3.1971166828838133</v>
      </c>
      <c r="N85" s="190" t="e">
        <f>N71+N83+N77+N82</f>
        <v>#REF!</v>
      </c>
      <c r="O85" s="190" t="e">
        <f>O71+O83+O77+O82+O84</f>
        <v>#REF!</v>
      </c>
      <c r="P85" s="193" t="e">
        <f>#N/A</f>
        <v>#REF!</v>
      </c>
      <c r="Q85" s="193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0">
        <f>D64+D85</f>
        <v>1076859.73</v>
      </c>
      <c r="E86" s="190">
        <f>E64+E85</f>
        <v>1076859.73</v>
      </c>
      <c r="F86" s="230">
        <f>F64+F85</f>
        <v>1089679.7600000002</v>
      </c>
      <c r="G86" s="191">
        <f>F86-E86</f>
        <v>12820.03000000026</v>
      </c>
      <c r="H86" s="192">
        <f>F86/E86*100</f>
        <v>101.19050138498542</v>
      </c>
      <c r="I86" s="193">
        <f>F86-D86</f>
        <v>12820.03000000026</v>
      </c>
      <c r="J86" s="193">
        <f>F86/D86*100</f>
        <v>101.19050138498542</v>
      </c>
      <c r="K86" s="193">
        <f>K64+K85</f>
        <v>734695.25</v>
      </c>
      <c r="L86" s="193">
        <f>F86-K86</f>
        <v>354984.51000000024</v>
      </c>
      <c r="M86" s="220">
        <f>F86/K86</f>
        <v>1.4831724582403387</v>
      </c>
      <c r="N86" s="191" t="e">
        <f>N64+N85</f>
        <v>#REF!</v>
      </c>
      <c r="O86" s="191" t="e">
        <f>O64+O85</f>
        <v>#REF!</v>
      </c>
      <c r="P86" s="193" t="e">
        <f>#N/A</f>
        <v>#REF!</v>
      </c>
      <c r="Q86" s="193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457"/>
      <c r="H89" s="457"/>
      <c r="I89" s="457"/>
      <c r="J89" s="457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445"/>
      <c r="P90" s="445"/>
      <c r="T90" s="147">
        <f>#N/A</f>
        <v>1029.4</v>
      </c>
    </row>
    <row r="91" spans="3:16" ht="15">
      <c r="C91" s="81">
        <v>42733</v>
      </c>
      <c r="D91" s="29">
        <v>10489.6</v>
      </c>
      <c r="F91" s="247" t="s">
        <v>58</v>
      </c>
      <c r="G91" s="441"/>
      <c r="H91" s="441"/>
      <c r="I91" s="118"/>
      <c r="J91" s="485"/>
      <c r="K91" s="485"/>
      <c r="L91" s="485"/>
      <c r="M91" s="485"/>
      <c r="N91" s="485"/>
      <c r="O91" s="445"/>
      <c r="P91" s="445"/>
    </row>
    <row r="92" spans="3:16" ht="15.75" customHeight="1">
      <c r="C92" s="81">
        <v>42732</v>
      </c>
      <c r="D92" s="29">
        <v>19085.6</v>
      </c>
      <c r="F92" s="298"/>
      <c r="G92" s="441"/>
      <c r="H92" s="441"/>
      <c r="I92" s="118"/>
      <c r="J92" s="486"/>
      <c r="K92" s="486"/>
      <c r="L92" s="486"/>
      <c r="M92" s="486"/>
      <c r="N92" s="486"/>
      <c r="O92" s="445"/>
      <c r="P92" s="445"/>
    </row>
    <row r="93" spans="3:14" ht="15.75" customHeight="1">
      <c r="C93" s="81"/>
      <c r="F93" s="298"/>
      <c r="G93" s="446"/>
      <c r="H93" s="446"/>
      <c r="I93" s="124"/>
      <c r="J93" s="485"/>
      <c r="K93" s="485"/>
      <c r="L93" s="485"/>
      <c r="M93" s="485"/>
      <c r="N93" s="485"/>
    </row>
    <row r="94" spans="2:14" ht="18.75" customHeight="1">
      <c r="B94" s="439" t="s">
        <v>56</v>
      </c>
      <c r="C94" s="440"/>
      <c r="D94" s="133" t="e">
        <f>'[1]ЧТКЕ'!$G$6/1000</f>
        <v>#VALUE!</v>
      </c>
      <c r="E94" s="69"/>
      <c r="F94" s="299" t="s">
        <v>107</v>
      </c>
      <c r="G94" s="441"/>
      <c r="H94" s="441"/>
      <c r="I94" s="126"/>
      <c r="J94" s="485"/>
      <c r="K94" s="485"/>
      <c r="L94" s="485"/>
      <c r="M94" s="485"/>
      <c r="N94" s="485"/>
    </row>
    <row r="95" spans="6:13" ht="9" customHeight="1">
      <c r="F95" s="298"/>
      <c r="G95" s="441"/>
      <c r="H95" s="441"/>
      <c r="I95" s="68"/>
      <c r="J95" s="69"/>
      <c r="K95" s="69"/>
      <c r="L95" s="69"/>
      <c r="M95" s="69"/>
    </row>
    <row r="96" spans="2:13" ht="22.5" customHeight="1" hidden="1">
      <c r="B96" s="442" t="s">
        <v>59</v>
      </c>
      <c r="C96" s="443"/>
      <c r="D96" s="80">
        <v>0</v>
      </c>
      <c r="E96" s="51" t="s">
        <v>24</v>
      </c>
      <c r="F96" s="298"/>
      <c r="G96" s="441"/>
      <c r="H96" s="441"/>
      <c r="I96" s="68"/>
      <c r="J96" s="69"/>
      <c r="K96" s="69"/>
      <c r="L96" s="69"/>
      <c r="M96" s="69"/>
    </row>
    <row r="97" spans="2:16" ht="15" hidden="1">
      <c r="B97" s="4" t="s">
        <v>129</v>
      </c>
      <c r="D97" s="68">
        <f>D45+D48+D49</f>
        <v>1019</v>
      </c>
      <c r="E97" s="68">
        <f>E45+E48+E49</f>
        <v>1019</v>
      </c>
      <c r="F97" s="300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1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84"/>
      <c r="P98" s="484"/>
    </row>
    <row r="99" spans="2:17" ht="15" hidden="1">
      <c r="B99" s="4" t="s">
        <v>118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01">
        <f>F9+F15+F17+F18+F19+F20+F39+F42+F56+F62+F63</f>
        <v>985370.43</v>
      </c>
      <c r="G99" s="29">
        <f>F99-E99</f>
        <v>9444.779999999912</v>
      </c>
      <c r="H99" s="229">
        <f>F99/E99</f>
        <v>1.009677765924074</v>
      </c>
      <c r="I99" s="29">
        <f>F99-D99</f>
        <v>9444.779999999912</v>
      </c>
      <c r="J99" s="229">
        <f>F99/D99</f>
        <v>1.009677765924074</v>
      </c>
      <c r="N99" s="29" t="e">
        <f>N9+N15+N17+N18+N19+N20+N39+N42+N44+N56+N62+N63</f>
        <v>#REF!</v>
      </c>
      <c r="O99" s="228" t="e">
        <f>O9+O15+O17+O18+O19+O20+O39+O42+O44+O56+O62+O63</f>
        <v>#REF!</v>
      </c>
      <c r="P99" s="29" t="e">
        <f>O99-N99</f>
        <v>#REF!</v>
      </c>
      <c r="Q99" s="229" t="e">
        <f>O99/N99</f>
        <v>#REF!</v>
      </c>
    </row>
    <row r="100" spans="2:17" ht="15" hidden="1">
      <c r="B100" s="4" t="s">
        <v>119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01">
        <f>F40+F41+F43+F45+F47+F48+F49+F50+F51+F57+F61+F44</f>
        <v>68199.08</v>
      </c>
      <c r="G100" s="29">
        <f>G40+G41+G43+G45+G47+G48+G49+G50+G51+G57+G61+G44</f>
        <v>1399</v>
      </c>
      <c r="H100" s="229">
        <f>F100/E100</f>
        <v>1.0209430886909117</v>
      </c>
      <c r="I100" s="29">
        <f>I40+I41+I43+I45+I47+I48+I49+I50+I51+I57+I61+I44</f>
        <v>1399</v>
      </c>
      <c r="J100" s="229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8" t="e">
        <f>#N/A</f>
        <v>#REF!</v>
      </c>
      <c r="P100" s="29" t="e">
        <f>#N/A</f>
        <v>#REF!</v>
      </c>
      <c r="Q100" s="229" t="e">
        <f>O100/N100</f>
        <v>#REF!</v>
      </c>
    </row>
    <row r="101" spans="2:17" ht="15" hidden="1">
      <c r="B101" s="4" t="s">
        <v>120</v>
      </c>
      <c r="D101" s="29">
        <f>SUM(D99:D100)</f>
        <v>1042725.7300000001</v>
      </c>
      <c r="E101" s="29">
        <f>#N/A</f>
        <v>1042725.7300000001</v>
      </c>
      <c r="F101" s="301">
        <f>#N/A</f>
        <v>1053569.51</v>
      </c>
      <c r="G101" s="29">
        <f>#N/A</f>
        <v>10843.779999999912</v>
      </c>
      <c r="H101" s="229">
        <f>F101/E101</f>
        <v>1.0103994556651057</v>
      </c>
      <c r="I101" s="29">
        <f>#N/A</f>
        <v>10843.779999999912</v>
      </c>
      <c r="J101" s="229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8" t="e">
        <f>#N/A</f>
        <v>#REF!</v>
      </c>
      <c r="P101" s="29" t="e">
        <f>#N/A</f>
        <v>#REF!</v>
      </c>
      <c r="Q101" s="229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29"/>
      <c r="I102" s="29">
        <f>#N/A</f>
        <v>2.3283064365386963E-10</v>
      </c>
      <c r="J102" s="229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2018-02-14T08:30:30Z</cp:lastPrinted>
  <dcterms:created xsi:type="dcterms:W3CDTF">2003-07-28T11:27:56Z</dcterms:created>
  <dcterms:modified xsi:type="dcterms:W3CDTF">2018-02-14T09:04:03Z</dcterms:modified>
  <cp:category/>
  <cp:version/>
  <cp:contentType/>
  <cp:contentStatus/>
</cp:coreProperties>
</file>